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360" yWindow="240" windowWidth="10050" windowHeight="4485"/>
  </bookViews>
  <sheets>
    <sheet name="Gagnasett" sheetId="1" r:id="rId1"/>
    <sheet name="DV-IDENTITY-0" sheetId="8" state="veryHidden" r:id="rId2"/>
    <sheet name="fjöldi m.ára" sheetId="13" r:id="rId3"/>
    <sheet name="INSPIRE þemu m.ára" sheetId="12" r:id="rId4"/>
    <sheet name="eftir insp.flokkun (join)" sheetId="17" r:id="rId5"/>
    <sheet name="eftir insp.flokkun" sheetId="10" r:id="rId6"/>
    <sheet name="Óskir" sheetId="4" r:id="rId7"/>
    <sheet name="fjöldi stofnana á þema" sheetId="18" r:id="rId8"/>
  </sheets>
  <definedNames>
    <definedName name="_xlnm.Print_Area" localSheetId="0">Gagnasett!$A$1:$K$268</definedName>
    <definedName name="_xlnm.Print_Area" localSheetId="6">Óskir!$A$1:$B$62</definedName>
    <definedName name="_xlnm.Print_Titles" localSheetId="0">Gagnasett!$1:$1</definedName>
    <definedName name="_xlnm.Print_Titles" localSheetId="6">Óskir!$1:$1</definedName>
    <definedName name="tafla">Gagnasett!$A$1:$K$268</definedName>
  </definedNames>
  <calcPr calcId="144525"/>
</workbook>
</file>

<file path=xl/calcChain.xml><?xml version="1.0" encoding="utf-8"?>
<calcChain xmlns="http://schemas.openxmlformats.org/spreadsheetml/2006/main">
  <c r="C45" i="13" l="1"/>
  <c r="D45" i="13" l="1"/>
  <c r="E44" i="13"/>
  <c r="E43" i="13"/>
  <c r="E42" i="13"/>
  <c r="E41" i="13"/>
  <c r="E40"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9" i="13"/>
  <c r="E8" i="13"/>
  <c r="E7" i="13"/>
  <c r="E6" i="13"/>
  <c r="E5" i="13"/>
  <c r="E4" i="13"/>
  <c r="E3" i="13"/>
  <c r="A18" i="8" l="1"/>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BJ18" i="8"/>
  <c r="BK18" i="8"/>
  <c r="BL18" i="8"/>
  <c r="BM18" i="8"/>
  <c r="BN18" i="8"/>
  <c r="BO18" i="8"/>
  <c r="BP18" i="8"/>
  <c r="BQ18" i="8"/>
  <c r="BR18" i="8"/>
  <c r="BS18" i="8"/>
  <c r="BT18" i="8"/>
  <c r="BU18" i="8"/>
  <c r="BV18" i="8"/>
  <c r="BW18" i="8"/>
  <c r="BX18" i="8"/>
  <c r="BY18" i="8"/>
  <c r="BZ18" i="8"/>
  <c r="CA18" i="8"/>
  <c r="CB18" i="8"/>
  <c r="CC18" i="8"/>
  <c r="CD18" i="8"/>
  <c r="CE18" i="8"/>
  <c r="CF18" i="8"/>
  <c r="CG18" i="8"/>
  <c r="CI18"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BJ17" i="8"/>
  <c r="BK17" i="8"/>
  <c r="BL17" i="8"/>
  <c r="BM17" i="8"/>
  <c r="BN17" i="8"/>
  <c r="BO17" i="8"/>
  <c r="BP17" i="8"/>
  <c r="BQ17" i="8"/>
  <c r="BR17" i="8"/>
  <c r="BS17" i="8"/>
  <c r="BT17" i="8"/>
  <c r="BU17" i="8"/>
  <c r="BV17" i="8"/>
  <c r="BW17" i="8"/>
  <c r="BX17" i="8"/>
  <c r="BY17" i="8"/>
  <c r="BZ17" i="8"/>
  <c r="CA17" i="8"/>
  <c r="CB17" i="8"/>
  <c r="CC17" i="8"/>
  <c r="CD17" i="8"/>
  <c r="CE17" i="8"/>
  <c r="CF17" i="8"/>
  <c r="CG17" i="8"/>
  <c r="CH17" i="8"/>
  <c r="CI17" i="8"/>
  <c r="CJ17" i="8"/>
  <c r="CK17" i="8"/>
  <c r="CL17" i="8"/>
  <c r="CM17" i="8"/>
  <c r="CN17" i="8"/>
  <c r="CO17" i="8"/>
  <c r="CP17" i="8"/>
  <c r="CQ17" i="8"/>
  <c r="CR17" i="8"/>
  <c r="CS17" i="8"/>
  <c r="CT17" i="8"/>
  <c r="CU17" i="8"/>
  <c r="CV17" i="8"/>
  <c r="CW17" i="8"/>
  <c r="CX17" i="8"/>
  <c r="CY17" i="8"/>
  <c r="CZ17" i="8"/>
  <c r="DA17" i="8"/>
  <c r="DB17" i="8"/>
  <c r="DC17" i="8"/>
  <c r="DD17" i="8"/>
  <c r="DE17" i="8"/>
  <c r="DF17" i="8"/>
  <c r="DG17" i="8"/>
  <c r="DH17" i="8"/>
  <c r="DI17" i="8"/>
  <c r="DJ17" i="8"/>
  <c r="DK17" i="8"/>
  <c r="DL17" i="8"/>
  <c r="DM17" i="8"/>
  <c r="DN17" i="8"/>
  <c r="DO17" i="8"/>
  <c r="DP17" i="8"/>
  <c r="DQ17" i="8"/>
  <c r="DR17" i="8"/>
  <c r="DS17" i="8"/>
  <c r="DT17" i="8"/>
  <c r="DU17" i="8"/>
  <c r="DV17" i="8"/>
  <c r="DW17" i="8"/>
  <c r="DX17" i="8"/>
  <c r="DY17" i="8"/>
  <c r="DZ17" i="8"/>
  <c r="EA17" i="8"/>
  <c r="EB17" i="8"/>
  <c r="EC17" i="8"/>
  <c r="ED17" i="8"/>
  <c r="EE17" i="8"/>
  <c r="EF17" i="8"/>
  <c r="EG17" i="8"/>
  <c r="EH17" i="8"/>
  <c r="EI17" i="8"/>
  <c r="EJ17" i="8"/>
  <c r="EK17" i="8"/>
  <c r="EL17" i="8"/>
  <c r="EM17" i="8"/>
  <c r="EN17" i="8"/>
  <c r="EO17" i="8"/>
  <c r="EP17" i="8"/>
  <c r="EQ17" i="8"/>
  <c r="ER17" i="8"/>
  <c r="ES17" i="8"/>
  <c r="ET17" i="8"/>
  <c r="EU17" i="8"/>
  <c r="EV17" i="8"/>
  <c r="EW17" i="8"/>
  <c r="EX17" i="8"/>
  <c r="EY17" i="8"/>
  <c r="EZ17" i="8"/>
  <c r="FA17" i="8"/>
  <c r="FB17" i="8"/>
  <c r="FC17" i="8"/>
  <c r="FD17" i="8"/>
  <c r="FE17" i="8"/>
  <c r="FF17" i="8"/>
  <c r="FG17" i="8"/>
  <c r="FH17" i="8"/>
  <c r="FI17" i="8"/>
  <c r="FJ17" i="8"/>
  <c r="FK17" i="8"/>
  <c r="FL17" i="8"/>
  <c r="FM17" i="8"/>
  <c r="FN17" i="8"/>
  <c r="FO17" i="8"/>
  <c r="FP17" i="8"/>
  <c r="FQ17" i="8"/>
  <c r="FR17" i="8"/>
  <c r="FS17" i="8"/>
  <c r="FT17" i="8"/>
  <c r="FU17" i="8"/>
  <c r="FV17" i="8"/>
  <c r="FW17" i="8"/>
  <c r="FX17" i="8"/>
  <c r="FY17" i="8"/>
  <c r="FZ17" i="8"/>
  <c r="GA17" i="8"/>
  <c r="GB17" i="8"/>
  <c r="GC17" i="8"/>
  <c r="GD17" i="8"/>
  <c r="GE17" i="8"/>
  <c r="GF17" i="8"/>
  <c r="GG17" i="8"/>
  <c r="GH17" i="8"/>
  <c r="GI17" i="8"/>
  <c r="GJ17" i="8"/>
  <c r="GK17" i="8"/>
  <c r="GL17" i="8"/>
  <c r="GM17" i="8"/>
  <c r="GN17" i="8"/>
  <c r="GO17" i="8"/>
  <c r="GP17" i="8"/>
  <c r="GQ17" i="8"/>
  <c r="GR17" i="8"/>
  <c r="GS17" i="8"/>
  <c r="GT17" i="8"/>
  <c r="GU17" i="8"/>
  <c r="GV17" i="8"/>
  <c r="GW17" i="8"/>
  <c r="GX17" i="8"/>
  <c r="GY17" i="8"/>
  <c r="GZ17" i="8"/>
  <c r="HA17" i="8"/>
  <c r="HB17" i="8"/>
  <c r="HC17" i="8"/>
  <c r="HD17" i="8"/>
  <c r="HE17" i="8"/>
  <c r="HF17" i="8"/>
  <c r="HG17" i="8"/>
  <c r="HH17" i="8"/>
  <c r="HI17" i="8"/>
  <c r="HJ17" i="8"/>
  <c r="HK17" i="8"/>
  <c r="HL17" i="8"/>
  <c r="HM17" i="8"/>
  <c r="HN17" i="8"/>
  <c r="HO17" i="8"/>
  <c r="HP17" i="8"/>
  <c r="HQ17" i="8"/>
  <c r="HR17" i="8"/>
  <c r="HS17" i="8"/>
  <c r="HT17" i="8"/>
  <c r="HU17" i="8"/>
  <c r="HV17" i="8"/>
  <c r="HW17" i="8"/>
  <c r="HX17" i="8"/>
  <c r="HY17" i="8"/>
  <c r="HZ17" i="8"/>
  <c r="IA17" i="8"/>
  <c r="IB17" i="8"/>
  <c r="IC17" i="8"/>
  <c r="ID17" i="8"/>
  <c r="IE17" i="8"/>
  <c r="IF17" i="8"/>
  <c r="IG17" i="8"/>
  <c r="IH17" i="8"/>
  <c r="II17" i="8"/>
  <c r="IJ17" i="8"/>
  <c r="IK17" i="8"/>
  <c r="IL17" i="8"/>
  <c r="IM17" i="8"/>
  <c r="IN17" i="8"/>
  <c r="IO17" i="8"/>
  <c r="IP17" i="8"/>
  <c r="IQ17" i="8"/>
  <c r="IR17" i="8"/>
  <c r="IS17" i="8"/>
  <c r="IT17" i="8"/>
  <c r="IU17" i="8"/>
  <c r="IV17"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BJ16" i="8"/>
  <c r="BK16" i="8"/>
  <c r="BL16" i="8"/>
  <c r="BM16" i="8"/>
  <c r="BN16" i="8"/>
  <c r="BO16" i="8"/>
  <c r="BP16" i="8"/>
  <c r="BQ16" i="8"/>
  <c r="BR16" i="8"/>
  <c r="BS16" i="8"/>
  <c r="BT16" i="8"/>
  <c r="BU16" i="8"/>
  <c r="BV16" i="8"/>
  <c r="BW16" i="8"/>
  <c r="BX16" i="8"/>
  <c r="BY16" i="8"/>
  <c r="BZ16" i="8"/>
  <c r="CA16" i="8"/>
  <c r="CB16" i="8"/>
  <c r="CC16" i="8"/>
  <c r="CD16" i="8"/>
  <c r="CE16" i="8"/>
  <c r="CF16" i="8"/>
  <c r="CG16" i="8"/>
  <c r="CH16" i="8"/>
  <c r="CI16" i="8"/>
  <c r="CJ16" i="8"/>
  <c r="CK16" i="8"/>
  <c r="CL16" i="8"/>
  <c r="CM16" i="8"/>
  <c r="CN16" i="8"/>
  <c r="CO16" i="8"/>
  <c r="CP16" i="8"/>
  <c r="CQ16" i="8"/>
  <c r="CR16" i="8"/>
  <c r="CS16" i="8"/>
  <c r="CT16" i="8"/>
  <c r="CU16" i="8"/>
  <c r="CV16" i="8"/>
  <c r="CW16" i="8"/>
  <c r="CX16" i="8"/>
  <c r="CY16" i="8"/>
  <c r="CZ16" i="8"/>
  <c r="DA16" i="8"/>
  <c r="DB16" i="8"/>
  <c r="DC16" i="8"/>
  <c r="DD16" i="8"/>
  <c r="DE16" i="8"/>
  <c r="DF16" i="8"/>
  <c r="DG16" i="8"/>
  <c r="DH16" i="8"/>
  <c r="DI16" i="8"/>
  <c r="DJ16" i="8"/>
  <c r="DK16" i="8"/>
  <c r="DL16" i="8"/>
  <c r="DM16" i="8"/>
  <c r="DN16" i="8"/>
  <c r="DO16" i="8"/>
  <c r="DP16" i="8"/>
  <c r="DQ16" i="8"/>
  <c r="DR16" i="8"/>
  <c r="DS16" i="8"/>
  <c r="DT16" i="8"/>
  <c r="DU16" i="8"/>
  <c r="DV16" i="8"/>
  <c r="DW16" i="8"/>
  <c r="DX16" i="8"/>
  <c r="DY16" i="8"/>
  <c r="DZ16" i="8"/>
  <c r="EA16" i="8"/>
  <c r="EB16" i="8"/>
  <c r="EC16" i="8"/>
  <c r="ED16" i="8"/>
  <c r="EE16" i="8"/>
  <c r="EF16" i="8"/>
  <c r="EG16" i="8"/>
  <c r="EH16" i="8"/>
  <c r="EI16" i="8"/>
  <c r="EJ16" i="8"/>
  <c r="EK16" i="8"/>
  <c r="EL16" i="8"/>
  <c r="EM16" i="8"/>
  <c r="EN16" i="8"/>
  <c r="EO16" i="8"/>
  <c r="EP16" i="8"/>
  <c r="EQ16" i="8"/>
  <c r="ER16" i="8"/>
  <c r="ES16" i="8"/>
  <c r="ET16" i="8"/>
  <c r="EU16" i="8"/>
  <c r="EV16" i="8"/>
  <c r="EW16" i="8"/>
  <c r="EX16" i="8"/>
  <c r="EY16" i="8"/>
  <c r="EZ16" i="8"/>
  <c r="FA16" i="8"/>
  <c r="FB16" i="8"/>
  <c r="FC16" i="8"/>
  <c r="FD16" i="8"/>
  <c r="FE16" i="8"/>
  <c r="FF16" i="8"/>
  <c r="FG16" i="8"/>
  <c r="FH16" i="8"/>
  <c r="FI16" i="8"/>
  <c r="FJ16" i="8"/>
  <c r="FK16" i="8"/>
  <c r="FL16" i="8"/>
  <c r="FM16" i="8"/>
  <c r="FN16" i="8"/>
  <c r="FO16" i="8"/>
  <c r="FP16" i="8"/>
  <c r="FQ16" i="8"/>
  <c r="FR16" i="8"/>
  <c r="FS16" i="8"/>
  <c r="FT16" i="8"/>
  <c r="FU16" i="8"/>
  <c r="FV16" i="8"/>
  <c r="FW16" i="8"/>
  <c r="FX16" i="8"/>
  <c r="FY16" i="8"/>
  <c r="FZ16" i="8"/>
  <c r="GA16" i="8"/>
  <c r="GB16" i="8"/>
  <c r="GC16" i="8"/>
  <c r="GD16" i="8"/>
  <c r="GE16" i="8"/>
  <c r="GF16" i="8"/>
  <c r="GG16" i="8"/>
  <c r="GH16" i="8"/>
  <c r="GI16" i="8"/>
  <c r="GJ16" i="8"/>
  <c r="GK16" i="8"/>
  <c r="GL16" i="8"/>
  <c r="GM16" i="8"/>
  <c r="GN16" i="8"/>
  <c r="GO16" i="8"/>
  <c r="GP16" i="8"/>
  <c r="GQ16" i="8"/>
  <c r="GR16" i="8"/>
  <c r="GS16" i="8"/>
  <c r="GT16" i="8"/>
  <c r="GU16" i="8"/>
  <c r="GV16" i="8"/>
  <c r="GW16" i="8"/>
  <c r="GX16" i="8"/>
  <c r="GY16" i="8"/>
  <c r="GZ16" i="8"/>
  <c r="HA16" i="8"/>
  <c r="HB16" i="8"/>
  <c r="HC16" i="8"/>
  <c r="HD16" i="8"/>
  <c r="HE16" i="8"/>
  <c r="HF16" i="8"/>
  <c r="HG16" i="8"/>
  <c r="HH16" i="8"/>
  <c r="HI16" i="8"/>
  <c r="HJ16" i="8"/>
  <c r="HK16" i="8"/>
  <c r="HL16" i="8"/>
  <c r="HM16" i="8"/>
  <c r="HN16" i="8"/>
  <c r="HO16" i="8"/>
  <c r="HP16" i="8"/>
  <c r="HQ16" i="8"/>
  <c r="HR16" i="8"/>
  <c r="HS16" i="8"/>
  <c r="HT16" i="8"/>
  <c r="HU16" i="8"/>
  <c r="HV16" i="8"/>
  <c r="HW16" i="8"/>
  <c r="HX16" i="8"/>
  <c r="HY16" i="8"/>
  <c r="HZ16" i="8"/>
  <c r="IA16" i="8"/>
  <c r="IB16" i="8"/>
  <c r="IC16" i="8"/>
  <c r="ID16" i="8"/>
  <c r="IE16" i="8"/>
  <c r="IF16" i="8"/>
  <c r="IG16" i="8"/>
  <c r="IH16" i="8"/>
  <c r="II16" i="8"/>
  <c r="IJ16" i="8"/>
  <c r="IK16" i="8"/>
  <c r="IL16" i="8"/>
  <c r="IM16" i="8"/>
  <c r="IN16" i="8"/>
  <c r="IO16" i="8"/>
  <c r="IP16" i="8"/>
  <c r="IQ16" i="8"/>
  <c r="IR16" i="8"/>
  <c r="IS16" i="8"/>
  <c r="IT16" i="8"/>
  <c r="IU16" i="8"/>
  <c r="IV16"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BJ15" i="8"/>
  <c r="BK15" i="8"/>
  <c r="BL15" i="8"/>
  <c r="BM15" i="8"/>
  <c r="BN15" i="8"/>
  <c r="BO15" i="8"/>
  <c r="BP15" i="8"/>
  <c r="BQ15" i="8"/>
  <c r="BR15" i="8"/>
  <c r="BS15" i="8"/>
  <c r="BT15" i="8"/>
  <c r="BU15" i="8"/>
  <c r="BV15" i="8"/>
  <c r="BW15" i="8"/>
  <c r="BX15" i="8"/>
  <c r="BY15" i="8"/>
  <c r="BZ15" i="8"/>
  <c r="CA15" i="8"/>
  <c r="CB15" i="8"/>
  <c r="CC15" i="8"/>
  <c r="CD15" i="8"/>
  <c r="CE15" i="8"/>
  <c r="CF15" i="8"/>
  <c r="CG15" i="8"/>
  <c r="CH15" i="8"/>
  <c r="CI15" i="8"/>
  <c r="CJ15" i="8"/>
  <c r="CK15" i="8"/>
  <c r="CL15" i="8"/>
  <c r="CM15" i="8"/>
  <c r="CN15" i="8"/>
  <c r="CO15" i="8"/>
  <c r="CP15" i="8"/>
  <c r="CQ15" i="8"/>
  <c r="CR15" i="8"/>
  <c r="CS15" i="8"/>
  <c r="CT15" i="8"/>
  <c r="CU15" i="8"/>
  <c r="CV15" i="8"/>
  <c r="CW15" i="8"/>
  <c r="CX15" i="8"/>
  <c r="CY15" i="8"/>
  <c r="CZ15" i="8"/>
  <c r="DA15" i="8"/>
  <c r="DB15" i="8"/>
  <c r="DC15" i="8"/>
  <c r="DD15" i="8"/>
  <c r="DE15" i="8"/>
  <c r="DF15" i="8"/>
  <c r="DG15" i="8"/>
  <c r="DH15" i="8"/>
  <c r="DI15" i="8"/>
  <c r="DJ15" i="8"/>
  <c r="DK15" i="8"/>
  <c r="DL15" i="8"/>
  <c r="DM15" i="8"/>
  <c r="DN15" i="8"/>
  <c r="DO15" i="8"/>
  <c r="DP15" i="8"/>
  <c r="DQ15" i="8"/>
  <c r="DR15" i="8"/>
  <c r="DS15" i="8"/>
  <c r="DT15" i="8"/>
  <c r="DU15" i="8"/>
  <c r="DV15" i="8"/>
  <c r="DW15" i="8"/>
  <c r="DX15" i="8"/>
  <c r="DY15" i="8"/>
  <c r="DZ15" i="8"/>
  <c r="EA15" i="8"/>
  <c r="EB15" i="8"/>
  <c r="EC15" i="8"/>
  <c r="ED15" i="8"/>
  <c r="EE15" i="8"/>
  <c r="EF15" i="8"/>
  <c r="EG15" i="8"/>
  <c r="EH15" i="8"/>
  <c r="EI15" i="8"/>
  <c r="EJ15" i="8"/>
  <c r="EK15" i="8"/>
  <c r="EL15" i="8"/>
  <c r="EM15" i="8"/>
  <c r="EN15" i="8"/>
  <c r="EO15" i="8"/>
  <c r="EP15" i="8"/>
  <c r="EQ15" i="8"/>
  <c r="ER15" i="8"/>
  <c r="ES15" i="8"/>
  <c r="ET15" i="8"/>
  <c r="EU15" i="8"/>
  <c r="EV15" i="8"/>
  <c r="EW15" i="8"/>
  <c r="EX15" i="8"/>
  <c r="EY15" i="8"/>
  <c r="EZ15" i="8"/>
  <c r="FA15" i="8"/>
  <c r="FB15" i="8"/>
  <c r="FC15" i="8"/>
  <c r="FD15" i="8"/>
  <c r="FE15" i="8"/>
  <c r="FF15" i="8"/>
  <c r="FG15" i="8"/>
  <c r="FH15" i="8"/>
  <c r="FI15" i="8"/>
  <c r="FJ15" i="8"/>
  <c r="FK15" i="8"/>
  <c r="FL15" i="8"/>
  <c r="FM15" i="8"/>
  <c r="FN15" i="8"/>
  <c r="FO15" i="8"/>
  <c r="FP15" i="8"/>
  <c r="FQ15" i="8"/>
  <c r="FR15" i="8"/>
  <c r="FS15" i="8"/>
  <c r="FT15" i="8"/>
  <c r="FU15" i="8"/>
  <c r="FV15" i="8"/>
  <c r="FW15" i="8"/>
  <c r="FX15" i="8"/>
  <c r="FY15" i="8"/>
  <c r="FZ15" i="8"/>
  <c r="GA15" i="8"/>
  <c r="GB15" i="8"/>
  <c r="GC15" i="8"/>
  <c r="GD15" i="8"/>
  <c r="GE15" i="8"/>
  <c r="GF15" i="8"/>
  <c r="GG15" i="8"/>
  <c r="GH15" i="8"/>
  <c r="GI15" i="8"/>
  <c r="GJ15" i="8"/>
  <c r="GK15" i="8"/>
  <c r="GL15" i="8"/>
  <c r="GM15" i="8"/>
  <c r="GN15" i="8"/>
  <c r="GO15" i="8"/>
  <c r="GP15" i="8"/>
  <c r="GQ15" i="8"/>
  <c r="GR15" i="8"/>
  <c r="GS15" i="8"/>
  <c r="GT15" i="8"/>
  <c r="GU15" i="8"/>
  <c r="GV15" i="8"/>
  <c r="GW15" i="8"/>
  <c r="GX15" i="8"/>
  <c r="GY15" i="8"/>
  <c r="GZ15" i="8"/>
  <c r="HA15" i="8"/>
  <c r="HB15" i="8"/>
  <c r="HC15" i="8"/>
  <c r="HD15" i="8"/>
  <c r="HE15" i="8"/>
  <c r="HF15" i="8"/>
  <c r="HG15" i="8"/>
  <c r="HH15" i="8"/>
  <c r="HI15" i="8"/>
  <c r="HJ15" i="8"/>
  <c r="HK15" i="8"/>
  <c r="HL15" i="8"/>
  <c r="HM15" i="8"/>
  <c r="HN15" i="8"/>
  <c r="HO15" i="8"/>
  <c r="HP15" i="8"/>
  <c r="HQ15" i="8"/>
  <c r="HR15" i="8"/>
  <c r="HS15" i="8"/>
  <c r="HT15" i="8"/>
  <c r="HU15" i="8"/>
  <c r="HV15" i="8"/>
  <c r="HW15" i="8"/>
  <c r="HX15" i="8"/>
  <c r="HY15" i="8"/>
  <c r="HZ15" i="8"/>
  <c r="IA15" i="8"/>
  <c r="IB15" i="8"/>
  <c r="IC15" i="8"/>
  <c r="ID15" i="8"/>
  <c r="IE15" i="8"/>
  <c r="IF15" i="8"/>
  <c r="IG15" i="8"/>
  <c r="IH15" i="8"/>
  <c r="II15" i="8"/>
  <c r="IJ15" i="8"/>
  <c r="IK15" i="8"/>
  <c r="IL15" i="8"/>
  <c r="IM15" i="8"/>
  <c r="IN15" i="8"/>
  <c r="IO15" i="8"/>
  <c r="IP15" i="8"/>
  <c r="IQ15" i="8"/>
  <c r="IR15" i="8"/>
  <c r="IS15" i="8"/>
  <c r="IT15" i="8"/>
  <c r="IU15" i="8"/>
  <c r="IV15"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BJ14" i="8"/>
  <c r="BK14" i="8"/>
  <c r="BL14" i="8"/>
  <c r="BM14" i="8"/>
  <c r="BN14" i="8"/>
  <c r="BO14" i="8"/>
  <c r="BP14" i="8"/>
  <c r="BQ14" i="8"/>
  <c r="BR14" i="8"/>
  <c r="BS14" i="8"/>
  <c r="BT14" i="8"/>
  <c r="BU14" i="8"/>
  <c r="BV14" i="8"/>
  <c r="BW14" i="8"/>
  <c r="BX14" i="8"/>
  <c r="BY14" i="8"/>
  <c r="BZ14" i="8"/>
  <c r="CA14" i="8"/>
  <c r="CB14" i="8"/>
  <c r="CC14" i="8"/>
  <c r="CD14" i="8"/>
  <c r="CE14" i="8"/>
  <c r="CF14" i="8"/>
  <c r="CG14" i="8"/>
  <c r="CH14" i="8"/>
  <c r="CI14" i="8"/>
  <c r="CJ14" i="8"/>
  <c r="CK14" i="8"/>
  <c r="CL14" i="8"/>
  <c r="CM14" i="8"/>
  <c r="CN14" i="8"/>
  <c r="CO14" i="8"/>
  <c r="CP14" i="8"/>
  <c r="CQ14" i="8"/>
  <c r="CR14" i="8"/>
  <c r="CS14" i="8"/>
  <c r="CT14" i="8"/>
  <c r="CU14" i="8"/>
  <c r="CV14" i="8"/>
  <c r="CW14" i="8"/>
  <c r="CX14" i="8"/>
  <c r="CY14" i="8"/>
  <c r="CZ14" i="8"/>
  <c r="DA14" i="8"/>
  <c r="DB14" i="8"/>
  <c r="DC14" i="8"/>
  <c r="DD14" i="8"/>
  <c r="DE14" i="8"/>
  <c r="DF14" i="8"/>
  <c r="DG14" i="8"/>
  <c r="DH14" i="8"/>
  <c r="DI14" i="8"/>
  <c r="DJ14" i="8"/>
  <c r="DK14" i="8"/>
  <c r="DL14" i="8"/>
  <c r="DM14" i="8"/>
  <c r="DN14" i="8"/>
  <c r="DO14" i="8"/>
  <c r="DP14" i="8"/>
  <c r="DQ14" i="8"/>
  <c r="DR14" i="8"/>
  <c r="DS14" i="8"/>
  <c r="DT14" i="8"/>
  <c r="DU14" i="8"/>
  <c r="DV14" i="8"/>
  <c r="DW14" i="8"/>
  <c r="DX14" i="8"/>
  <c r="DY14" i="8"/>
  <c r="DZ14" i="8"/>
  <c r="EA14" i="8"/>
  <c r="EB14" i="8"/>
  <c r="EC14" i="8"/>
  <c r="ED14" i="8"/>
  <c r="EE14" i="8"/>
  <c r="EF14" i="8"/>
  <c r="EG14" i="8"/>
  <c r="EH14" i="8"/>
  <c r="EI14" i="8"/>
  <c r="EJ14" i="8"/>
  <c r="EK14" i="8"/>
  <c r="EL14" i="8"/>
  <c r="EM14" i="8"/>
  <c r="EN14" i="8"/>
  <c r="EO14" i="8"/>
  <c r="EP14" i="8"/>
  <c r="EQ14" i="8"/>
  <c r="ER14" i="8"/>
  <c r="ES14" i="8"/>
  <c r="ET14" i="8"/>
  <c r="EU14" i="8"/>
  <c r="EV14" i="8"/>
  <c r="EW14" i="8"/>
  <c r="EX14" i="8"/>
  <c r="EY14" i="8"/>
  <c r="EZ14" i="8"/>
  <c r="FA14" i="8"/>
  <c r="FB14" i="8"/>
  <c r="FC14" i="8"/>
  <c r="FD14" i="8"/>
  <c r="FE14" i="8"/>
  <c r="FF14" i="8"/>
  <c r="FG14" i="8"/>
  <c r="FH14" i="8"/>
  <c r="FI14" i="8"/>
  <c r="FJ14" i="8"/>
  <c r="FK14" i="8"/>
  <c r="FL14" i="8"/>
  <c r="FM14" i="8"/>
  <c r="FN14" i="8"/>
  <c r="FO14" i="8"/>
  <c r="FP14" i="8"/>
  <c r="FQ14" i="8"/>
  <c r="FR14" i="8"/>
  <c r="FS14" i="8"/>
  <c r="FT14" i="8"/>
  <c r="FU14" i="8"/>
  <c r="FV14" i="8"/>
  <c r="FW14" i="8"/>
  <c r="FX14" i="8"/>
  <c r="FY14" i="8"/>
  <c r="FZ14" i="8"/>
  <c r="GA14" i="8"/>
  <c r="GB14" i="8"/>
  <c r="GC14" i="8"/>
  <c r="GD14" i="8"/>
  <c r="GE14" i="8"/>
  <c r="GF14" i="8"/>
  <c r="GG14" i="8"/>
  <c r="GH14" i="8"/>
  <c r="GI14" i="8"/>
  <c r="GJ14" i="8"/>
  <c r="GK14" i="8"/>
  <c r="GL14" i="8"/>
  <c r="GM14" i="8"/>
  <c r="GN14" i="8"/>
  <c r="GO14" i="8"/>
  <c r="GP14" i="8"/>
  <c r="GQ14" i="8"/>
  <c r="GR14" i="8"/>
  <c r="GS14" i="8"/>
  <c r="GT14" i="8"/>
  <c r="GU14" i="8"/>
  <c r="GV14" i="8"/>
  <c r="GW14" i="8"/>
  <c r="GX14" i="8"/>
  <c r="GY14" i="8"/>
  <c r="GZ14" i="8"/>
  <c r="HA14" i="8"/>
  <c r="HB14" i="8"/>
  <c r="HC14" i="8"/>
  <c r="HD14" i="8"/>
  <c r="HE14" i="8"/>
  <c r="HF14" i="8"/>
  <c r="HG14" i="8"/>
  <c r="HH14" i="8"/>
  <c r="HI14" i="8"/>
  <c r="HJ14" i="8"/>
  <c r="HK14" i="8"/>
  <c r="HL14" i="8"/>
  <c r="HM14" i="8"/>
  <c r="HN14" i="8"/>
  <c r="HO14" i="8"/>
  <c r="HP14" i="8"/>
  <c r="HQ14" i="8"/>
  <c r="HR14" i="8"/>
  <c r="HS14" i="8"/>
  <c r="HT14" i="8"/>
  <c r="HU14" i="8"/>
  <c r="HV14" i="8"/>
  <c r="HW14" i="8"/>
  <c r="HX14" i="8"/>
  <c r="HY14" i="8"/>
  <c r="HZ14" i="8"/>
  <c r="IA14" i="8"/>
  <c r="IB14" i="8"/>
  <c r="IC14" i="8"/>
  <c r="ID14" i="8"/>
  <c r="IE14" i="8"/>
  <c r="IF14" i="8"/>
  <c r="IG14" i="8"/>
  <c r="IH14" i="8"/>
  <c r="II14" i="8"/>
  <c r="IJ14" i="8"/>
  <c r="IK14" i="8"/>
  <c r="IL14" i="8"/>
  <c r="IM14" i="8"/>
  <c r="IN14" i="8"/>
  <c r="IO14" i="8"/>
  <c r="IP14" i="8"/>
  <c r="IQ14" i="8"/>
  <c r="IR14" i="8"/>
  <c r="IS14" i="8"/>
  <c r="IT14" i="8"/>
  <c r="IU14" i="8"/>
  <c r="IV14"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BJ13" i="8"/>
  <c r="BK13" i="8"/>
  <c r="BL13" i="8"/>
  <c r="BM13" i="8"/>
  <c r="BN13" i="8"/>
  <c r="BO13" i="8"/>
  <c r="BP13" i="8"/>
  <c r="BQ13" i="8"/>
  <c r="BR13" i="8"/>
  <c r="BS13" i="8"/>
  <c r="BT13" i="8"/>
  <c r="BU13" i="8"/>
  <c r="BV13" i="8"/>
  <c r="BW13" i="8"/>
  <c r="BX13" i="8"/>
  <c r="BY13" i="8"/>
  <c r="BZ13" i="8"/>
  <c r="CA13" i="8"/>
  <c r="CB13" i="8"/>
  <c r="CC13" i="8"/>
  <c r="CD13" i="8"/>
  <c r="CE13" i="8"/>
  <c r="CF13" i="8"/>
  <c r="CG13" i="8"/>
  <c r="CH13" i="8"/>
  <c r="CI13" i="8"/>
  <c r="CJ13" i="8"/>
  <c r="CK13" i="8"/>
  <c r="CL13" i="8"/>
  <c r="CM13" i="8"/>
  <c r="CN13" i="8"/>
  <c r="CO13" i="8"/>
  <c r="CP13" i="8"/>
  <c r="CQ13" i="8"/>
  <c r="CR13" i="8"/>
  <c r="CS13" i="8"/>
  <c r="CT13" i="8"/>
  <c r="CU13" i="8"/>
  <c r="CV13" i="8"/>
  <c r="CW13" i="8"/>
  <c r="CX13" i="8"/>
  <c r="CY13" i="8"/>
  <c r="CZ13" i="8"/>
  <c r="DA13" i="8"/>
  <c r="DB13" i="8"/>
  <c r="DC13" i="8"/>
  <c r="DD13" i="8"/>
  <c r="DE13" i="8"/>
  <c r="DF13" i="8"/>
  <c r="DG13" i="8"/>
  <c r="DH13" i="8"/>
  <c r="DI13" i="8"/>
  <c r="DJ13" i="8"/>
  <c r="DK13" i="8"/>
  <c r="DL13" i="8"/>
  <c r="DM13" i="8"/>
  <c r="DN13" i="8"/>
  <c r="DO13" i="8"/>
  <c r="DP13" i="8"/>
  <c r="DQ13" i="8"/>
  <c r="DR13" i="8"/>
  <c r="DS13" i="8"/>
  <c r="DT13" i="8"/>
  <c r="DU13" i="8"/>
  <c r="DV13" i="8"/>
  <c r="DW13" i="8"/>
  <c r="DX13" i="8"/>
  <c r="DY13" i="8"/>
  <c r="DZ13" i="8"/>
  <c r="EA13" i="8"/>
  <c r="EB13" i="8"/>
  <c r="EC13" i="8"/>
  <c r="ED13" i="8"/>
  <c r="EE13" i="8"/>
  <c r="EF13" i="8"/>
  <c r="EG13" i="8"/>
  <c r="EH13" i="8"/>
  <c r="EI13" i="8"/>
  <c r="EJ13" i="8"/>
  <c r="EK13" i="8"/>
  <c r="EL13" i="8"/>
  <c r="EM13" i="8"/>
  <c r="EN13" i="8"/>
  <c r="EO13" i="8"/>
  <c r="EP13" i="8"/>
  <c r="EQ13" i="8"/>
  <c r="ER13" i="8"/>
  <c r="ES13" i="8"/>
  <c r="ET13" i="8"/>
  <c r="EU13" i="8"/>
  <c r="EV13" i="8"/>
  <c r="EW13" i="8"/>
  <c r="EX13" i="8"/>
  <c r="EY13" i="8"/>
  <c r="EZ13" i="8"/>
  <c r="FA13" i="8"/>
  <c r="FB13" i="8"/>
  <c r="FC13" i="8"/>
  <c r="FD13" i="8"/>
  <c r="FE13" i="8"/>
  <c r="FF13" i="8"/>
  <c r="FG13" i="8"/>
  <c r="FH13" i="8"/>
  <c r="FI13" i="8"/>
  <c r="FJ13" i="8"/>
  <c r="FK13" i="8"/>
  <c r="FL13" i="8"/>
  <c r="FM13" i="8"/>
  <c r="FN13" i="8"/>
  <c r="FO13" i="8"/>
  <c r="FP13" i="8"/>
  <c r="FQ13" i="8"/>
  <c r="FR13" i="8"/>
  <c r="FS13" i="8"/>
  <c r="FT13" i="8"/>
  <c r="FU13" i="8"/>
  <c r="FV13" i="8"/>
  <c r="FW13" i="8"/>
  <c r="FX13" i="8"/>
  <c r="FY13" i="8"/>
  <c r="FZ13" i="8"/>
  <c r="GA13" i="8"/>
  <c r="GB13" i="8"/>
  <c r="GC13" i="8"/>
  <c r="GD13" i="8"/>
  <c r="GE13" i="8"/>
  <c r="GF13" i="8"/>
  <c r="GG13" i="8"/>
  <c r="GH13" i="8"/>
  <c r="GI13" i="8"/>
  <c r="GJ13" i="8"/>
  <c r="GK13" i="8"/>
  <c r="GL13" i="8"/>
  <c r="GM13" i="8"/>
  <c r="GN13" i="8"/>
  <c r="GO13" i="8"/>
  <c r="GP13" i="8"/>
  <c r="GQ13" i="8"/>
  <c r="GR13" i="8"/>
  <c r="GS13" i="8"/>
  <c r="GT13" i="8"/>
  <c r="GU13" i="8"/>
  <c r="GV13" i="8"/>
  <c r="GW13" i="8"/>
  <c r="GX13" i="8"/>
  <c r="GY13" i="8"/>
  <c r="GZ13" i="8"/>
  <c r="HA13" i="8"/>
  <c r="HB13" i="8"/>
  <c r="HC13" i="8"/>
  <c r="HD13" i="8"/>
  <c r="HE13" i="8"/>
  <c r="HF13" i="8"/>
  <c r="HG13" i="8"/>
  <c r="HH13" i="8"/>
  <c r="HI13" i="8"/>
  <c r="HJ13" i="8"/>
  <c r="HK13" i="8"/>
  <c r="HL13" i="8"/>
  <c r="HM13" i="8"/>
  <c r="HN13" i="8"/>
  <c r="HO13" i="8"/>
  <c r="HP13" i="8"/>
  <c r="HQ13" i="8"/>
  <c r="HR13" i="8"/>
  <c r="HS13" i="8"/>
  <c r="HT13" i="8"/>
  <c r="HU13" i="8"/>
  <c r="HV13" i="8"/>
  <c r="HW13" i="8"/>
  <c r="HX13" i="8"/>
  <c r="HY13" i="8"/>
  <c r="HZ13" i="8"/>
  <c r="IA13" i="8"/>
  <c r="IB13" i="8"/>
  <c r="IC13" i="8"/>
  <c r="ID13" i="8"/>
  <c r="IE13" i="8"/>
  <c r="IF13" i="8"/>
  <c r="IG13" i="8"/>
  <c r="IH13" i="8"/>
  <c r="II13" i="8"/>
  <c r="IJ13" i="8"/>
  <c r="IK13" i="8"/>
  <c r="IL13" i="8"/>
  <c r="IM13" i="8"/>
  <c r="IN13" i="8"/>
  <c r="IO13" i="8"/>
  <c r="IP13" i="8"/>
  <c r="IQ13" i="8"/>
  <c r="IR13" i="8"/>
  <c r="IS13" i="8"/>
  <c r="IT13" i="8"/>
  <c r="IU13" i="8"/>
  <c r="IV13"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BJ12" i="8"/>
  <c r="BK12" i="8"/>
  <c r="BL12" i="8"/>
  <c r="BM12" i="8"/>
  <c r="BN12" i="8"/>
  <c r="BO12" i="8"/>
  <c r="BP12" i="8"/>
  <c r="BQ12" i="8"/>
  <c r="BR12" i="8"/>
  <c r="BS12" i="8"/>
  <c r="BT12" i="8"/>
  <c r="BU12" i="8"/>
  <c r="BV12" i="8"/>
  <c r="BW12" i="8"/>
  <c r="BX12" i="8"/>
  <c r="BY12" i="8"/>
  <c r="BZ12" i="8"/>
  <c r="CA12" i="8"/>
  <c r="CB12" i="8"/>
  <c r="CC12" i="8"/>
  <c r="CD12" i="8"/>
  <c r="CE12" i="8"/>
  <c r="CF12" i="8"/>
  <c r="CG12" i="8"/>
  <c r="CH12" i="8"/>
  <c r="CI12" i="8"/>
  <c r="CJ12" i="8"/>
  <c r="CK12" i="8"/>
  <c r="CL12" i="8"/>
  <c r="CM12" i="8"/>
  <c r="CN12" i="8"/>
  <c r="CO12" i="8"/>
  <c r="CP12" i="8"/>
  <c r="CQ12" i="8"/>
  <c r="CR12" i="8"/>
  <c r="CS12" i="8"/>
  <c r="CT12" i="8"/>
  <c r="CU12" i="8"/>
  <c r="CV12" i="8"/>
  <c r="CW12" i="8"/>
  <c r="CX12" i="8"/>
  <c r="CY12" i="8"/>
  <c r="CZ12" i="8"/>
  <c r="DA12" i="8"/>
  <c r="DB12" i="8"/>
  <c r="DC12" i="8"/>
  <c r="DD12" i="8"/>
  <c r="DE12" i="8"/>
  <c r="DF12" i="8"/>
  <c r="DG12" i="8"/>
  <c r="DH12" i="8"/>
  <c r="DI12" i="8"/>
  <c r="DJ12" i="8"/>
  <c r="DK12" i="8"/>
  <c r="DL12" i="8"/>
  <c r="DM12" i="8"/>
  <c r="DN12" i="8"/>
  <c r="DO12" i="8"/>
  <c r="DP12" i="8"/>
  <c r="DQ12" i="8"/>
  <c r="DR12" i="8"/>
  <c r="DS12" i="8"/>
  <c r="DT12" i="8"/>
  <c r="DU12" i="8"/>
  <c r="DV12" i="8"/>
  <c r="DW12" i="8"/>
  <c r="DX12" i="8"/>
  <c r="DY12" i="8"/>
  <c r="DZ12" i="8"/>
  <c r="EA12" i="8"/>
  <c r="EB12" i="8"/>
  <c r="EC12" i="8"/>
  <c r="ED12" i="8"/>
  <c r="EE12" i="8"/>
  <c r="EF12" i="8"/>
  <c r="EG12" i="8"/>
  <c r="EH12" i="8"/>
  <c r="EI12" i="8"/>
  <c r="EJ12" i="8"/>
  <c r="EK12" i="8"/>
  <c r="EL12" i="8"/>
  <c r="EM12" i="8"/>
  <c r="EN12" i="8"/>
  <c r="EO12" i="8"/>
  <c r="EP12" i="8"/>
  <c r="EQ12" i="8"/>
  <c r="ER12" i="8"/>
  <c r="ES12" i="8"/>
  <c r="ET12" i="8"/>
  <c r="EU12" i="8"/>
  <c r="EV12" i="8"/>
  <c r="EW12" i="8"/>
  <c r="EX12" i="8"/>
  <c r="EY12" i="8"/>
  <c r="EZ12" i="8"/>
  <c r="FA12" i="8"/>
  <c r="FB12" i="8"/>
  <c r="FC12" i="8"/>
  <c r="FD12" i="8"/>
  <c r="FE12" i="8"/>
  <c r="FF12" i="8"/>
  <c r="FG12" i="8"/>
  <c r="FH12" i="8"/>
  <c r="FI12" i="8"/>
  <c r="FJ12" i="8"/>
  <c r="FK12" i="8"/>
  <c r="FL12" i="8"/>
  <c r="FM12" i="8"/>
  <c r="FN12" i="8"/>
  <c r="FO12" i="8"/>
  <c r="FP12" i="8"/>
  <c r="FQ12" i="8"/>
  <c r="FR12" i="8"/>
  <c r="FS12" i="8"/>
  <c r="FT12" i="8"/>
  <c r="FU12" i="8"/>
  <c r="FV12" i="8"/>
  <c r="FW12" i="8"/>
  <c r="FX12" i="8"/>
  <c r="FY12" i="8"/>
  <c r="FZ12" i="8"/>
  <c r="GA12" i="8"/>
  <c r="GB12" i="8"/>
  <c r="GC12" i="8"/>
  <c r="GD12" i="8"/>
  <c r="GE12" i="8"/>
  <c r="GF12" i="8"/>
  <c r="GG12" i="8"/>
  <c r="GH12" i="8"/>
  <c r="GI12" i="8"/>
  <c r="GJ12" i="8"/>
  <c r="GK12" i="8"/>
  <c r="GL12" i="8"/>
  <c r="GM12" i="8"/>
  <c r="GN12" i="8"/>
  <c r="GO12" i="8"/>
  <c r="GP12" i="8"/>
  <c r="GQ12" i="8"/>
  <c r="GR12" i="8"/>
  <c r="GS12" i="8"/>
  <c r="GT12" i="8"/>
  <c r="GU12" i="8"/>
  <c r="GV12" i="8"/>
  <c r="GW12" i="8"/>
  <c r="GX12" i="8"/>
  <c r="GY12" i="8"/>
  <c r="GZ12" i="8"/>
  <c r="HA12" i="8"/>
  <c r="HB12" i="8"/>
  <c r="HC12" i="8"/>
  <c r="HD12" i="8"/>
  <c r="HE12" i="8"/>
  <c r="HF12" i="8"/>
  <c r="HG12" i="8"/>
  <c r="HH12" i="8"/>
  <c r="HI12" i="8"/>
  <c r="HJ12" i="8"/>
  <c r="HK12" i="8"/>
  <c r="HL12" i="8"/>
  <c r="HM12" i="8"/>
  <c r="HN12" i="8"/>
  <c r="HO12" i="8"/>
  <c r="HP12" i="8"/>
  <c r="HQ12" i="8"/>
  <c r="HR12" i="8"/>
  <c r="HS12" i="8"/>
  <c r="HT12" i="8"/>
  <c r="HU12" i="8"/>
  <c r="HV12" i="8"/>
  <c r="HW12" i="8"/>
  <c r="HX12" i="8"/>
  <c r="HY12" i="8"/>
  <c r="HZ12" i="8"/>
  <c r="IA12" i="8"/>
  <c r="IB12" i="8"/>
  <c r="IC12" i="8"/>
  <c r="ID12" i="8"/>
  <c r="IE12" i="8"/>
  <c r="IF12" i="8"/>
  <c r="IG12" i="8"/>
  <c r="IH12" i="8"/>
  <c r="II12" i="8"/>
  <c r="IJ12" i="8"/>
  <c r="IK12" i="8"/>
  <c r="IL12" i="8"/>
  <c r="IM12" i="8"/>
  <c r="IN12" i="8"/>
  <c r="IO12" i="8"/>
  <c r="IP12" i="8"/>
  <c r="IQ12" i="8"/>
  <c r="IR12" i="8"/>
  <c r="IS12" i="8"/>
  <c r="IT12" i="8"/>
  <c r="IU12" i="8"/>
  <c r="IV12" i="8"/>
  <c r="A11" i="8"/>
  <c r="B11" i="8"/>
  <c r="C11" i="8"/>
  <c r="D11" i="8"/>
  <c r="E11" i="8"/>
  <c r="F11" i="8"/>
  <c r="G11" i="8"/>
  <c r="H11" i="8"/>
  <c r="I11" i="8"/>
  <c r="J11" i="8"/>
  <c r="K11" i="8"/>
  <c r="L11" i="8"/>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BJ11" i="8"/>
  <c r="BK11" i="8"/>
  <c r="BL11" i="8"/>
  <c r="BM11" i="8"/>
  <c r="BN11" i="8"/>
  <c r="BO11" i="8"/>
  <c r="BP11" i="8"/>
  <c r="BQ11" i="8"/>
  <c r="BR11" i="8"/>
  <c r="BS11" i="8"/>
  <c r="BT11" i="8"/>
  <c r="BU11" i="8"/>
  <c r="BV11" i="8"/>
  <c r="BW11" i="8"/>
  <c r="BX11" i="8"/>
  <c r="BY11" i="8"/>
  <c r="BZ11" i="8"/>
  <c r="CA11" i="8"/>
  <c r="CB11" i="8"/>
  <c r="CC11" i="8"/>
  <c r="CD11" i="8"/>
  <c r="CE11" i="8"/>
  <c r="CF11" i="8"/>
  <c r="CG11" i="8"/>
  <c r="CH11" i="8"/>
  <c r="CI11" i="8"/>
  <c r="CJ11" i="8"/>
  <c r="CK11" i="8"/>
  <c r="CL11" i="8"/>
  <c r="CM11" i="8"/>
  <c r="CN11" i="8"/>
  <c r="CO11" i="8"/>
  <c r="CP11" i="8"/>
  <c r="CQ11" i="8"/>
  <c r="CR11" i="8"/>
  <c r="CS11" i="8"/>
  <c r="CT11" i="8"/>
  <c r="CU11" i="8"/>
  <c r="CV11" i="8"/>
  <c r="CW11" i="8"/>
  <c r="CX11" i="8"/>
  <c r="CY11" i="8"/>
  <c r="CZ11" i="8"/>
  <c r="DA11" i="8"/>
  <c r="DB11" i="8"/>
  <c r="DC11" i="8"/>
  <c r="DD11" i="8"/>
  <c r="DE11" i="8"/>
  <c r="DF11" i="8"/>
  <c r="DG11" i="8"/>
  <c r="DH11" i="8"/>
  <c r="DI11" i="8"/>
  <c r="DJ11" i="8"/>
  <c r="DK11" i="8"/>
  <c r="DL11" i="8"/>
  <c r="DM11" i="8"/>
  <c r="DN11" i="8"/>
  <c r="DO11" i="8"/>
  <c r="DP11" i="8"/>
  <c r="DQ11" i="8"/>
  <c r="DR11" i="8"/>
  <c r="DS11" i="8"/>
  <c r="DT11" i="8"/>
  <c r="DU11" i="8"/>
  <c r="DV11" i="8"/>
  <c r="DW11" i="8"/>
  <c r="DX11" i="8"/>
  <c r="DY11" i="8"/>
  <c r="DZ11" i="8"/>
  <c r="EA11" i="8"/>
  <c r="EB11" i="8"/>
  <c r="EC11" i="8"/>
  <c r="ED11" i="8"/>
  <c r="EE11" i="8"/>
  <c r="EF11" i="8"/>
  <c r="EG11" i="8"/>
  <c r="EH11" i="8"/>
  <c r="EI11" i="8"/>
  <c r="EJ11" i="8"/>
  <c r="EK11" i="8"/>
  <c r="EL11" i="8"/>
  <c r="EM11" i="8"/>
  <c r="EN11" i="8"/>
  <c r="EO11" i="8"/>
  <c r="EP11" i="8"/>
  <c r="EQ11" i="8"/>
  <c r="ER11" i="8"/>
  <c r="ES11" i="8"/>
  <c r="ET11" i="8"/>
  <c r="EU11" i="8"/>
  <c r="EV11" i="8"/>
  <c r="EW11" i="8"/>
  <c r="EX11" i="8"/>
  <c r="EY11" i="8"/>
  <c r="EZ11" i="8"/>
  <c r="FA11" i="8"/>
  <c r="FB11" i="8"/>
  <c r="FC11" i="8"/>
  <c r="FD11" i="8"/>
  <c r="FE11" i="8"/>
  <c r="FF11" i="8"/>
  <c r="FG11" i="8"/>
  <c r="FH11" i="8"/>
  <c r="FI11" i="8"/>
  <c r="FJ11" i="8"/>
  <c r="FK11" i="8"/>
  <c r="FL11" i="8"/>
  <c r="FM11" i="8"/>
  <c r="FN11" i="8"/>
  <c r="FO11" i="8"/>
  <c r="FP11" i="8"/>
  <c r="FQ11" i="8"/>
  <c r="FR11" i="8"/>
  <c r="FS11" i="8"/>
  <c r="FT11" i="8"/>
  <c r="FU11" i="8"/>
  <c r="FV11" i="8"/>
  <c r="FW11" i="8"/>
  <c r="FX11" i="8"/>
  <c r="FY11" i="8"/>
  <c r="FZ11" i="8"/>
  <c r="GA11" i="8"/>
  <c r="GB11" i="8"/>
  <c r="GC11" i="8"/>
  <c r="GD11" i="8"/>
  <c r="GE11" i="8"/>
  <c r="GF11" i="8"/>
  <c r="GG11" i="8"/>
  <c r="GH11" i="8"/>
  <c r="GI11" i="8"/>
  <c r="GJ11" i="8"/>
  <c r="GK11" i="8"/>
  <c r="GL11" i="8"/>
  <c r="GM11" i="8"/>
  <c r="GN11" i="8"/>
  <c r="GO11" i="8"/>
  <c r="GP11" i="8"/>
  <c r="GQ11" i="8"/>
  <c r="GR11" i="8"/>
  <c r="GS11" i="8"/>
  <c r="GT11" i="8"/>
  <c r="GU11" i="8"/>
  <c r="GV11" i="8"/>
  <c r="GW11" i="8"/>
  <c r="GX11" i="8"/>
  <c r="GY11" i="8"/>
  <c r="GZ11" i="8"/>
  <c r="HA11" i="8"/>
  <c r="HB11" i="8"/>
  <c r="HC11" i="8"/>
  <c r="HD11" i="8"/>
  <c r="HE11" i="8"/>
  <c r="HF11" i="8"/>
  <c r="HG11" i="8"/>
  <c r="HH11" i="8"/>
  <c r="HI11" i="8"/>
  <c r="HJ11" i="8"/>
  <c r="HK11" i="8"/>
  <c r="HL11" i="8"/>
  <c r="HM11" i="8"/>
  <c r="HN11" i="8"/>
  <c r="HO11" i="8"/>
  <c r="HP11" i="8"/>
  <c r="HQ11" i="8"/>
  <c r="HR11" i="8"/>
  <c r="HS11" i="8"/>
  <c r="HT11" i="8"/>
  <c r="HU11" i="8"/>
  <c r="HV11" i="8"/>
  <c r="HW11" i="8"/>
  <c r="HX11" i="8"/>
  <c r="HY11" i="8"/>
  <c r="HZ11" i="8"/>
  <c r="IA11" i="8"/>
  <c r="IB11" i="8"/>
  <c r="IC11" i="8"/>
  <c r="ID11" i="8"/>
  <c r="IE11" i="8"/>
  <c r="IF11" i="8"/>
  <c r="IG11" i="8"/>
  <c r="IH11" i="8"/>
  <c r="II11" i="8"/>
  <c r="IJ11" i="8"/>
  <c r="IK11" i="8"/>
  <c r="IL11" i="8"/>
  <c r="IM11" i="8"/>
  <c r="IN11" i="8"/>
  <c r="IO11" i="8"/>
  <c r="IP11" i="8"/>
  <c r="IQ11" i="8"/>
  <c r="IR11" i="8"/>
  <c r="IS11" i="8"/>
  <c r="IT11" i="8"/>
  <c r="IU11" i="8"/>
  <c r="IV11"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BJ10" i="8"/>
  <c r="BK10" i="8"/>
  <c r="BL10" i="8"/>
  <c r="BM10" i="8"/>
  <c r="BN10" i="8"/>
  <c r="BO10" i="8"/>
  <c r="BP10" i="8"/>
  <c r="BQ10" i="8"/>
  <c r="BR10" i="8"/>
  <c r="BS10" i="8"/>
  <c r="BT10" i="8"/>
  <c r="BU10" i="8"/>
  <c r="BV10" i="8"/>
  <c r="BW10" i="8"/>
  <c r="BX10" i="8"/>
  <c r="BY10" i="8"/>
  <c r="BZ10" i="8"/>
  <c r="CA10" i="8"/>
  <c r="CB10" i="8"/>
  <c r="CC10" i="8"/>
  <c r="CD10" i="8"/>
  <c r="CE10" i="8"/>
  <c r="CF10" i="8"/>
  <c r="CG10" i="8"/>
  <c r="CH10" i="8"/>
  <c r="CI10" i="8"/>
  <c r="CJ10" i="8"/>
  <c r="CK10" i="8"/>
  <c r="CL10" i="8"/>
  <c r="CM10" i="8"/>
  <c r="CN10" i="8"/>
  <c r="CO10" i="8"/>
  <c r="CP10" i="8"/>
  <c r="CQ10" i="8"/>
  <c r="CR10" i="8"/>
  <c r="CS10" i="8"/>
  <c r="CT10" i="8"/>
  <c r="CU10" i="8"/>
  <c r="CV10" i="8"/>
  <c r="CW10" i="8"/>
  <c r="CX10" i="8"/>
  <c r="CY10" i="8"/>
  <c r="CZ10" i="8"/>
  <c r="DA10" i="8"/>
  <c r="DB10" i="8"/>
  <c r="DC10" i="8"/>
  <c r="DD10" i="8"/>
  <c r="DE10" i="8"/>
  <c r="DF10" i="8"/>
  <c r="DG10" i="8"/>
  <c r="DH10" i="8"/>
  <c r="DI10" i="8"/>
  <c r="DJ10" i="8"/>
  <c r="DK10" i="8"/>
  <c r="DL10" i="8"/>
  <c r="DM10" i="8"/>
  <c r="DN10" i="8"/>
  <c r="DO10" i="8"/>
  <c r="DP10" i="8"/>
  <c r="DQ10" i="8"/>
  <c r="DR10" i="8"/>
  <c r="DS10" i="8"/>
  <c r="DT10" i="8"/>
  <c r="DU10" i="8"/>
  <c r="DV10" i="8"/>
  <c r="DW10" i="8"/>
  <c r="DX10" i="8"/>
  <c r="DY10" i="8"/>
  <c r="DZ10" i="8"/>
  <c r="EA10" i="8"/>
  <c r="EB10" i="8"/>
  <c r="EC10" i="8"/>
  <c r="ED10" i="8"/>
  <c r="EE10" i="8"/>
  <c r="EF10" i="8"/>
  <c r="EG10" i="8"/>
  <c r="EH10" i="8"/>
  <c r="EI10" i="8"/>
  <c r="EJ10" i="8"/>
  <c r="EK10" i="8"/>
  <c r="EL10" i="8"/>
  <c r="EM10" i="8"/>
  <c r="EN10" i="8"/>
  <c r="EO10" i="8"/>
  <c r="EP10" i="8"/>
  <c r="EQ10" i="8"/>
  <c r="ER10" i="8"/>
  <c r="ES10" i="8"/>
  <c r="ET10" i="8"/>
  <c r="EU10" i="8"/>
  <c r="EV10" i="8"/>
  <c r="EW10" i="8"/>
  <c r="EX10" i="8"/>
  <c r="EY10" i="8"/>
  <c r="EZ10" i="8"/>
  <c r="FA10" i="8"/>
  <c r="FB10" i="8"/>
  <c r="FC10" i="8"/>
  <c r="FD10" i="8"/>
  <c r="FE10" i="8"/>
  <c r="FF10" i="8"/>
  <c r="FG10" i="8"/>
  <c r="FH10" i="8"/>
  <c r="FI10" i="8"/>
  <c r="FJ10" i="8"/>
  <c r="FK10" i="8"/>
  <c r="FL10" i="8"/>
  <c r="FM10" i="8"/>
  <c r="FN10" i="8"/>
  <c r="FO10" i="8"/>
  <c r="FP10" i="8"/>
  <c r="FQ10" i="8"/>
  <c r="FR10" i="8"/>
  <c r="FS10" i="8"/>
  <c r="FT10" i="8"/>
  <c r="FU10" i="8"/>
  <c r="FV10" i="8"/>
  <c r="FW10" i="8"/>
  <c r="FX10" i="8"/>
  <c r="FY10" i="8"/>
  <c r="FZ10" i="8"/>
  <c r="GA10" i="8"/>
  <c r="GB10" i="8"/>
  <c r="GC10" i="8"/>
  <c r="GD10" i="8"/>
  <c r="GE10" i="8"/>
  <c r="GF10" i="8"/>
  <c r="GG10" i="8"/>
  <c r="GH10" i="8"/>
  <c r="GI10" i="8"/>
  <c r="GJ10" i="8"/>
  <c r="GK10" i="8"/>
  <c r="GL10" i="8"/>
  <c r="GM10" i="8"/>
  <c r="GN10" i="8"/>
  <c r="GO10" i="8"/>
  <c r="GP10" i="8"/>
  <c r="GQ10" i="8"/>
  <c r="GR10" i="8"/>
  <c r="GS10" i="8"/>
  <c r="GT10" i="8"/>
  <c r="GU10" i="8"/>
  <c r="GV10" i="8"/>
  <c r="GW10" i="8"/>
  <c r="GX10" i="8"/>
  <c r="GY10" i="8"/>
  <c r="GZ10" i="8"/>
  <c r="HA10" i="8"/>
  <c r="HB10" i="8"/>
  <c r="HC10" i="8"/>
  <c r="HD10" i="8"/>
  <c r="HE10" i="8"/>
  <c r="HF10" i="8"/>
  <c r="HG10" i="8"/>
  <c r="HH10" i="8"/>
  <c r="HI10" i="8"/>
  <c r="HJ10" i="8"/>
  <c r="HK10" i="8"/>
  <c r="HL10" i="8"/>
  <c r="HM10" i="8"/>
  <c r="HN10" i="8"/>
  <c r="HO10" i="8"/>
  <c r="HP10" i="8"/>
  <c r="HQ10" i="8"/>
  <c r="HR10" i="8"/>
  <c r="HS10" i="8"/>
  <c r="HT10" i="8"/>
  <c r="HU10" i="8"/>
  <c r="HV10" i="8"/>
  <c r="HW10" i="8"/>
  <c r="HX10" i="8"/>
  <c r="HY10" i="8"/>
  <c r="HZ10" i="8"/>
  <c r="IA10" i="8"/>
  <c r="IB10" i="8"/>
  <c r="IC10" i="8"/>
  <c r="ID10" i="8"/>
  <c r="IE10" i="8"/>
  <c r="IF10" i="8"/>
  <c r="IG10" i="8"/>
  <c r="IH10" i="8"/>
  <c r="II10" i="8"/>
  <c r="IJ10" i="8"/>
  <c r="IK10" i="8"/>
  <c r="IL10" i="8"/>
  <c r="IM10" i="8"/>
  <c r="IN10" i="8"/>
  <c r="IO10" i="8"/>
  <c r="IP10" i="8"/>
  <c r="IQ10" i="8"/>
  <c r="IR10" i="8"/>
  <c r="IS10" i="8"/>
  <c r="IT10" i="8"/>
  <c r="IU10" i="8"/>
  <c r="IV10"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BJ9" i="8"/>
  <c r="BK9" i="8"/>
  <c r="BL9" i="8"/>
  <c r="BM9" i="8"/>
  <c r="BN9" i="8"/>
  <c r="BO9" i="8"/>
  <c r="BP9" i="8"/>
  <c r="BQ9" i="8"/>
  <c r="BR9" i="8"/>
  <c r="BS9" i="8"/>
  <c r="BT9" i="8"/>
  <c r="BU9" i="8"/>
  <c r="BV9" i="8"/>
  <c r="BW9" i="8"/>
  <c r="BX9" i="8"/>
  <c r="BY9" i="8"/>
  <c r="BZ9" i="8"/>
  <c r="CA9" i="8"/>
  <c r="CB9" i="8"/>
  <c r="CC9" i="8"/>
  <c r="CD9" i="8"/>
  <c r="CE9" i="8"/>
  <c r="CF9" i="8"/>
  <c r="CG9" i="8"/>
  <c r="CH9" i="8"/>
  <c r="CI9" i="8"/>
  <c r="CJ9" i="8"/>
  <c r="CK9" i="8"/>
  <c r="CL9" i="8"/>
  <c r="CM9" i="8"/>
  <c r="CN9" i="8"/>
  <c r="CO9" i="8"/>
  <c r="CP9" i="8"/>
  <c r="CQ9" i="8"/>
  <c r="CR9" i="8"/>
  <c r="CS9" i="8"/>
  <c r="CT9" i="8"/>
  <c r="CU9" i="8"/>
  <c r="CV9" i="8"/>
  <c r="CW9" i="8"/>
  <c r="CX9" i="8"/>
  <c r="CY9" i="8"/>
  <c r="CZ9" i="8"/>
  <c r="DA9" i="8"/>
  <c r="DB9" i="8"/>
  <c r="DC9" i="8"/>
  <c r="DD9" i="8"/>
  <c r="DE9" i="8"/>
  <c r="DF9" i="8"/>
  <c r="DG9" i="8"/>
  <c r="DH9" i="8"/>
  <c r="DI9" i="8"/>
  <c r="DJ9" i="8"/>
  <c r="DK9" i="8"/>
  <c r="DL9" i="8"/>
  <c r="DM9" i="8"/>
  <c r="DN9" i="8"/>
  <c r="DO9" i="8"/>
  <c r="DP9" i="8"/>
  <c r="DQ9" i="8"/>
  <c r="DR9" i="8"/>
  <c r="DS9" i="8"/>
  <c r="DT9" i="8"/>
  <c r="DU9" i="8"/>
  <c r="DV9" i="8"/>
  <c r="DW9" i="8"/>
  <c r="DX9" i="8"/>
  <c r="DY9" i="8"/>
  <c r="DZ9" i="8"/>
  <c r="EA9" i="8"/>
  <c r="EB9" i="8"/>
  <c r="EC9" i="8"/>
  <c r="ED9" i="8"/>
  <c r="EE9" i="8"/>
  <c r="EF9" i="8"/>
  <c r="EG9" i="8"/>
  <c r="EH9" i="8"/>
  <c r="EI9" i="8"/>
  <c r="EJ9" i="8"/>
  <c r="EK9" i="8"/>
  <c r="EL9" i="8"/>
  <c r="EM9" i="8"/>
  <c r="EN9" i="8"/>
  <c r="EO9" i="8"/>
  <c r="EP9" i="8"/>
  <c r="EQ9" i="8"/>
  <c r="ER9" i="8"/>
  <c r="ES9" i="8"/>
  <c r="ET9" i="8"/>
  <c r="EU9" i="8"/>
  <c r="EV9" i="8"/>
  <c r="EW9" i="8"/>
  <c r="EX9" i="8"/>
  <c r="EY9" i="8"/>
  <c r="EZ9" i="8"/>
  <c r="FA9" i="8"/>
  <c r="FB9" i="8"/>
  <c r="FC9" i="8"/>
  <c r="FD9" i="8"/>
  <c r="FE9" i="8"/>
  <c r="FF9" i="8"/>
  <c r="FG9" i="8"/>
  <c r="FH9" i="8"/>
  <c r="FI9" i="8"/>
  <c r="FJ9" i="8"/>
  <c r="FK9" i="8"/>
  <c r="FL9" i="8"/>
  <c r="FM9" i="8"/>
  <c r="FN9" i="8"/>
  <c r="FO9" i="8"/>
  <c r="FP9" i="8"/>
  <c r="FQ9" i="8"/>
  <c r="FR9" i="8"/>
  <c r="FS9" i="8"/>
  <c r="FT9" i="8"/>
  <c r="FU9" i="8"/>
  <c r="FV9" i="8"/>
  <c r="FW9" i="8"/>
  <c r="FX9" i="8"/>
  <c r="FY9" i="8"/>
  <c r="FZ9" i="8"/>
  <c r="GA9" i="8"/>
  <c r="GB9" i="8"/>
  <c r="GC9" i="8"/>
  <c r="GD9" i="8"/>
  <c r="GE9" i="8"/>
  <c r="GF9" i="8"/>
  <c r="GG9" i="8"/>
  <c r="GH9" i="8"/>
  <c r="GI9" i="8"/>
  <c r="GJ9" i="8"/>
  <c r="GK9" i="8"/>
  <c r="GL9" i="8"/>
  <c r="GM9" i="8"/>
  <c r="GN9" i="8"/>
  <c r="GO9" i="8"/>
  <c r="GP9" i="8"/>
  <c r="GQ9" i="8"/>
  <c r="GR9" i="8"/>
  <c r="GS9" i="8"/>
  <c r="GT9" i="8"/>
  <c r="GU9" i="8"/>
  <c r="GV9" i="8"/>
  <c r="GW9" i="8"/>
  <c r="GX9" i="8"/>
  <c r="GY9" i="8"/>
  <c r="GZ9" i="8"/>
  <c r="HA9" i="8"/>
  <c r="HB9" i="8"/>
  <c r="HC9" i="8"/>
  <c r="HD9" i="8"/>
  <c r="HE9" i="8"/>
  <c r="HF9" i="8"/>
  <c r="HG9" i="8"/>
  <c r="HH9" i="8"/>
  <c r="HI9" i="8"/>
  <c r="HJ9" i="8"/>
  <c r="HK9" i="8"/>
  <c r="HL9" i="8"/>
  <c r="HM9" i="8"/>
  <c r="HN9" i="8"/>
  <c r="HO9" i="8"/>
  <c r="HP9" i="8"/>
  <c r="HQ9" i="8"/>
  <c r="HR9" i="8"/>
  <c r="HS9" i="8"/>
  <c r="HT9" i="8"/>
  <c r="HU9" i="8"/>
  <c r="HV9" i="8"/>
  <c r="HW9" i="8"/>
  <c r="HX9" i="8"/>
  <c r="HY9" i="8"/>
  <c r="HZ9" i="8"/>
  <c r="IA9" i="8"/>
  <c r="IB9" i="8"/>
  <c r="IC9" i="8"/>
  <c r="ID9" i="8"/>
  <c r="IE9" i="8"/>
  <c r="IF9" i="8"/>
  <c r="IG9" i="8"/>
  <c r="IH9" i="8"/>
  <c r="II9" i="8"/>
  <c r="IJ9" i="8"/>
  <c r="IK9" i="8"/>
  <c r="IL9" i="8"/>
  <c r="IM9" i="8"/>
  <c r="IN9" i="8"/>
  <c r="IO9" i="8"/>
  <c r="IP9" i="8"/>
  <c r="IQ9" i="8"/>
  <c r="IR9" i="8"/>
  <c r="IS9" i="8"/>
  <c r="IT9" i="8"/>
  <c r="IU9" i="8"/>
  <c r="IV9" i="8"/>
  <c r="A8" i="8"/>
  <c r="B8" i="8"/>
  <c r="C8" i="8"/>
  <c r="D8" i="8"/>
  <c r="E8" i="8"/>
  <c r="F8" i="8"/>
  <c r="G8" i="8"/>
  <c r="H8" i="8"/>
  <c r="I8" i="8"/>
  <c r="J8" i="8"/>
  <c r="K8" i="8"/>
  <c r="L8" i="8"/>
  <c r="M8" i="8"/>
  <c r="N8" i="8"/>
  <c r="O8" i="8"/>
  <c r="P8" i="8"/>
  <c r="Q8" i="8"/>
  <c r="R8" i="8"/>
  <c r="S8" i="8"/>
  <c r="T8" i="8"/>
  <c r="U8" i="8"/>
  <c r="V8" i="8"/>
  <c r="W8" i="8"/>
  <c r="X8" i="8"/>
  <c r="Y8" i="8"/>
  <c r="Z8" i="8"/>
  <c r="AA8" i="8"/>
  <c r="AB8" i="8"/>
  <c r="AC8" i="8"/>
  <c r="AD8" i="8"/>
  <c r="AE8" i="8"/>
  <c r="AF8" i="8"/>
  <c r="AG8" i="8"/>
  <c r="AH8" i="8"/>
  <c r="AI8" i="8"/>
  <c r="AJ8" i="8"/>
  <c r="AK8" i="8"/>
  <c r="AL8" i="8"/>
  <c r="AM8" i="8"/>
  <c r="AN8" i="8"/>
  <c r="AO8" i="8"/>
  <c r="AP8" i="8"/>
  <c r="AQ8" i="8"/>
  <c r="AR8" i="8"/>
  <c r="AS8" i="8"/>
  <c r="AT8" i="8"/>
  <c r="AU8" i="8"/>
  <c r="AV8" i="8"/>
  <c r="AW8" i="8"/>
  <c r="AX8" i="8"/>
  <c r="AY8" i="8"/>
  <c r="AZ8" i="8"/>
  <c r="BA8" i="8"/>
  <c r="BB8" i="8"/>
  <c r="BC8" i="8"/>
  <c r="BD8" i="8"/>
  <c r="BE8" i="8"/>
  <c r="BF8" i="8"/>
  <c r="BG8" i="8"/>
  <c r="BH8" i="8"/>
  <c r="BI8" i="8"/>
  <c r="BJ8" i="8"/>
  <c r="BK8" i="8"/>
  <c r="BL8" i="8"/>
  <c r="BM8" i="8"/>
  <c r="BN8" i="8"/>
  <c r="BO8" i="8"/>
  <c r="BP8" i="8"/>
  <c r="BQ8" i="8"/>
  <c r="BR8" i="8"/>
  <c r="BS8" i="8"/>
  <c r="BT8" i="8"/>
  <c r="BU8" i="8"/>
  <c r="BV8" i="8"/>
  <c r="BW8" i="8"/>
  <c r="BX8" i="8"/>
  <c r="BY8" i="8"/>
  <c r="BZ8" i="8"/>
  <c r="CA8" i="8"/>
  <c r="CB8" i="8"/>
  <c r="CC8" i="8"/>
  <c r="CD8" i="8"/>
  <c r="CE8" i="8"/>
  <c r="CF8" i="8"/>
  <c r="CG8" i="8"/>
  <c r="CH8" i="8"/>
  <c r="CI8" i="8"/>
  <c r="CJ8" i="8"/>
  <c r="CK8" i="8"/>
  <c r="CL8" i="8"/>
  <c r="CM8" i="8"/>
  <c r="CN8" i="8"/>
  <c r="CO8" i="8"/>
  <c r="CP8" i="8"/>
  <c r="CQ8" i="8"/>
  <c r="CR8" i="8"/>
  <c r="CS8" i="8"/>
  <c r="CT8" i="8"/>
  <c r="CU8" i="8"/>
  <c r="CV8" i="8"/>
  <c r="CW8" i="8"/>
  <c r="CX8" i="8"/>
  <c r="CY8" i="8"/>
  <c r="CZ8" i="8"/>
  <c r="DA8" i="8"/>
  <c r="DB8" i="8"/>
  <c r="DC8" i="8"/>
  <c r="DD8" i="8"/>
  <c r="DE8" i="8"/>
  <c r="DF8" i="8"/>
  <c r="DG8" i="8"/>
  <c r="DH8" i="8"/>
  <c r="DI8" i="8"/>
  <c r="DJ8" i="8"/>
  <c r="DK8" i="8"/>
  <c r="DL8" i="8"/>
  <c r="DM8" i="8"/>
  <c r="DN8" i="8"/>
  <c r="DO8" i="8"/>
  <c r="DP8" i="8"/>
  <c r="DQ8" i="8"/>
  <c r="DR8" i="8"/>
  <c r="DS8" i="8"/>
  <c r="DT8" i="8"/>
  <c r="DU8" i="8"/>
  <c r="DV8" i="8"/>
  <c r="DW8" i="8"/>
  <c r="DX8" i="8"/>
  <c r="DY8" i="8"/>
  <c r="DZ8" i="8"/>
  <c r="EA8" i="8"/>
  <c r="EB8" i="8"/>
  <c r="EC8" i="8"/>
  <c r="ED8" i="8"/>
  <c r="EE8" i="8"/>
  <c r="EF8" i="8"/>
  <c r="EG8" i="8"/>
  <c r="EH8" i="8"/>
  <c r="EI8" i="8"/>
  <c r="EJ8" i="8"/>
  <c r="EK8" i="8"/>
  <c r="EL8" i="8"/>
  <c r="EM8" i="8"/>
  <c r="EN8" i="8"/>
  <c r="EO8" i="8"/>
  <c r="EP8" i="8"/>
  <c r="EQ8" i="8"/>
  <c r="ER8" i="8"/>
  <c r="ES8" i="8"/>
  <c r="ET8" i="8"/>
  <c r="EU8" i="8"/>
  <c r="EV8" i="8"/>
  <c r="EW8" i="8"/>
  <c r="EX8" i="8"/>
  <c r="EY8" i="8"/>
  <c r="EZ8" i="8"/>
  <c r="FA8" i="8"/>
  <c r="FB8" i="8"/>
  <c r="FC8" i="8"/>
  <c r="FD8" i="8"/>
  <c r="FE8" i="8"/>
  <c r="FF8" i="8"/>
  <c r="FG8" i="8"/>
  <c r="FH8" i="8"/>
  <c r="FI8" i="8"/>
  <c r="FJ8" i="8"/>
  <c r="FK8" i="8"/>
  <c r="FL8" i="8"/>
  <c r="FM8" i="8"/>
  <c r="FN8" i="8"/>
  <c r="FO8" i="8"/>
  <c r="FP8" i="8"/>
  <c r="FQ8" i="8"/>
  <c r="FR8" i="8"/>
  <c r="FS8" i="8"/>
  <c r="FT8" i="8"/>
  <c r="FU8" i="8"/>
  <c r="FV8" i="8"/>
  <c r="FW8" i="8"/>
  <c r="FX8" i="8"/>
  <c r="FY8" i="8"/>
  <c r="FZ8" i="8"/>
  <c r="GA8" i="8"/>
  <c r="GB8" i="8"/>
  <c r="GC8" i="8"/>
  <c r="GD8" i="8"/>
  <c r="GE8" i="8"/>
  <c r="GF8" i="8"/>
  <c r="GG8" i="8"/>
  <c r="GH8" i="8"/>
  <c r="GI8" i="8"/>
  <c r="GJ8" i="8"/>
  <c r="GK8" i="8"/>
  <c r="GL8" i="8"/>
  <c r="GM8" i="8"/>
  <c r="GN8" i="8"/>
  <c r="GO8" i="8"/>
  <c r="GP8" i="8"/>
  <c r="GQ8" i="8"/>
  <c r="GR8" i="8"/>
  <c r="GS8" i="8"/>
  <c r="GT8" i="8"/>
  <c r="GU8" i="8"/>
  <c r="GV8" i="8"/>
  <c r="GW8" i="8"/>
  <c r="GX8" i="8"/>
  <c r="GY8" i="8"/>
  <c r="GZ8" i="8"/>
  <c r="HA8" i="8"/>
  <c r="HB8" i="8"/>
  <c r="HC8" i="8"/>
  <c r="HD8" i="8"/>
  <c r="HE8" i="8"/>
  <c r="HF8" i="8"/>
  <c r="HG8" i="8"/>
  <c r="HH8" i="8"/>
  <c r="HI8" i="8"/>
  <c r="HJ8" i="8"/>
  <c r="HK8" i="8"/>
  <c r="HL8" i="8"/>
  <c r="HM8" i="8"/>
  <c r="HN8" i="8"/>
  <c r="HO8" i="8"/>
  <c r="HP8" i="8"/>
  <c r="HQ8" i="8"/>
  <c r="HR8" i="8"/>
  <c r="HS8" i="8"/>
  <c r="HT8" i="8"/>
  <c r="HU8" i="8"/>
  <c r="HV8" i="8"/>
  <c r="HW8" i="8"/>
  <c r="HX8" i="8"/>
  <c r="HY8" i="8"/>
  <c r="HZ8" i="8"/>
  <c r="IA8" i="8"/>
  <c r="IB8" i="8"/>
  <c r="IC8" i="8"/>
  <c r="ID8" i="8"/>
  <c r="IE8" i="8"/>
  <c r="IF8" i="8"/>
  <c r="IG8" i="8"/>
  <c r="IH8" i="8"/>
  <c r="II8" i="8"/>
  <c r="IJ8" i="8"/>
  <c r="IK8" i="8"/>
  <c r="IL8" i="8"/>
  <c r="IM8" i="8"/>
  <c r="IN8" i="8"/>
  <c r="IO8" i="8"/>
  <c r="IP8" i="8"/>
  <c r="IQ8" i="8"/>
  <c r="IR8" i="8"/>
  <c r="IS8" i="8"/>
  <c r="IT8" i="8"/>
  <c r="IU8" i="8"/>
  <c r="IV8" i="8"/>
  <c r="A7" i="8"/>
  <c r="B7" i="8"/>
  <c r="C7" i="8"/>
  <c r="D7" i="8"/>
  <c r="E7" i="8"/>
  <c r="F7" i="8"/>
  <c r="G7" i="8"/>
  <c r="H7" i="8"/>
  <c r="I7" i="8"/>
  <c r="J7" i="8"/>
  <c r="K7" i="8"/>
  <c r="L7" i="8"/>
  <c r="M7" i="8"/>
  <c r="N7" i="8"/>
  <c r="O7" i="8"/>
  <c r="P7" i="8"/>
  <c r="Q7" i="8"/>
  <c r="R7" i="8"/>
  <c r="S7" i="8"/>
  <c r="T7" i="8"/>
  <c r="U7" i="8"/>
  <c r="V7" i="8"/>
  <c r="W7" i="8"/>
  <c r="X7" i="8"/>
  <c r="Y7" i="8"/>
  <c r="Z7" i="8"/>
  <c r="AA7" i="8"/>
  <c r="AB7" i="8"/>
  <c r="AC7" i="8"/>
  <c r="AD7" i="8"/>
  <c r="AE7" i="8"/>
  <c r="AF7" i="8"/>
  <c r="AG7" i="8"/>
  <c r="AH7" i="8"/>
  <c r="AI7" i="8"/>
  <c r="AJ7" i="8"/>
  <c r="AK7" i="8"/>
  <c r="AL7" i="8"/>
  <c r="AM7" i="8"/>
  <c r="AN7" i="8"/>
  <c r="AO7" i="8"/>
  <c r="AP7" i="8"/>
  <c r="AQ7" i="8"/>
  <c r="AR7" i="8"/>
  <c r="AS7" i="8"/>
  <c r="AT7" i="8"/>
  <c r="AU7" i="8"/>
  <c r="AV7" i="8"/>
  <c r="AW7" i="8"/>
  <c r="AX7" i="8"/>
  <c r="AY7" i="8"/>
  <c r="AZ7" i="8"/>
  <c r="BA7" i="8"/>
  <c r="BB7" i="8"/>
  <c r="BC7" i="8"/>
  <c r="BD7" i="8"/>
  <c r="BE7" i="8"/>
  <c r="BF7" i="8"/>
  <c r="BG7" i="8"/>
  <c r="BH7" i="8"/>
  <c r="BI7" i="8"/>
  <c r="BJ7" i="8"/>
  <c r="BK7" i="8"/>
  <c r="BL7" i="8"/>
  <c r="BM7" i="8"/>
  <c r="BN7" i="8"/>
  <c r="BO7" i="8"/>
  <c r="BP7" i="8"/>
  <c r="BQ7" i="8"/>
  <c r="BR7" i="8"/>
  <c r="BS7" i="8"/>
  <c r="BT7" i="8"/>
  <c r="BU7" i="8"/>
  <c r="BV7" i="8"/>
  <c r="BW7" i="8"/>
  <c r="BX7" i="8"/>
  <c r="BY7" i="8"/>
  <c r="BZ7" i="8"/>
  <c r="CA7" i="8"/>
  <c r="CB7" i="8"/>
  <c r="CC7" i="8"/>
  <c r="CD7" i="8"/>
  <c r="CE7" i="8"/>
  <c r="CF7" i="8"/>
  <c r="CG7" i="8"/>
  <c r="CH7" i="8"/>
  <c r="CI7" i="8"/>
  <c r="CJ7" i="8"/>
  <c r="CK7" i="8"/>
  <c r="CL7" i="8"/>
  <c r="CM7" i="8"/>
  <c r="CN7" i="8"/>
  <c r="CO7" i="8"/>
  <c r="CP7" i="8"/>
  <c r="CQ7" i="8"/>
  <c r="CR7" i="8"/>
  <c r="CS7" i="8"/>
  <c r="CT7" i="8"/>
  <c r="CU7" i="8"/>
  <c r="CV7" i="8"/>
  <c r="CW7" i="8"/>
  <c r="CX7" i="8"/>
  <c r="CY7" i="8"/>
  <c r="CZ7" i="8"/>
  <c r="DA7" i="8"/>
  <c r="DB7" i="8"/>
  <c r="DC7" i="8"/>
  <c r="DD7" i="8"/>
  <c r="DE7" i="8"/>
  <c r="DF7" i="8"/>
  <c r="DG7" i="8"/>
  <c r="DH7" i="8"/>
  <c r="DI7" i="8"/>
  <c r="DJ7" i="8"/>
  <c r="DK7" i="8"/>
  <c r="DL7" i="8"/>
  <c r="DM7" i="8"/>
  <c r="DN7" i="8"/>
  <c r="DO7" i="8"/>
  <c r="DP7" i="8"/>
  <c r="DQ7" i="8"/>
  <c r="DR7" i="8"/>
  <c r="DS7" i="8"/>
  <c r="DT7" i="8"/>
  <c r="DU7" i="8"/>
  <c r="DV7" i="8"/>
  <c r="DW7" i="8"/>
  <c r="DX7" i="8"/>
  <c r="DY7" i="8"/>
  <c r="DZ7" i="8"/>
  <c r="EA7" i="8"/>
  <c r="EB7" i="8"/>
  <c r="EC7" i="8"/>
  <c r="ED7" i="8"/>
  <c r="EE7" i="8"/>
  <c r="EF7" i="8"/>
  <c r="EG7" i="8"/>
  <c r="EH7" i="8"/>
  <c r="EI7" i="8"/>
  <c r="EJ7" i="8"/>
  <c r="EK7" i="8"/>
  <c r="EL7" i="8"/>
  <c r="EM7" i="8"/>
  <c r="EN7" i="8"/>
  <c r="EO7" i="8"/>
  <c r="EP7" i="8"/>
  <c r="EQ7" i="8"/>
  <c r="ER7" i="8"/>
  <c r="ES7" i="8"/>
  <c r="ET7" i="8"/>
  <c r="EU7" i="8"/>
  <c r="EV7" i="8"/>
  <c r="EW7" i="8"/>
  <c r="EX7" i="8"/>
  <c r="EY7" i="8"/>
  <c r="EZ7" i="8"/>
  <c r="FA7" i="8"/>
  <c r="FB7" i="8"/>
  <c r="FC7" i="8"/>
  <c r="FD7" i="8"/>
  <c r="FE7" i="8"/>
  <c r="FF7" i="8"/>
  <c r="FG7" i="8"/>
  <c r="FH7" i="8"/>
  <c r="FI7" i="8"/>
  <c r="FJ7" i="8"/>
  <c r="FK7" i="8"/>
  <c r="FL7" i="8"/>
  <c r="FM7" i="8"/>
  <c r="FN7" i="8"/>
  <c r="FO7" i="8"/>
  <c r="FP7" i="8"/>
  <c r="FQ7" i="8"/>
  <c r="FR7" i="8"/>
  <c r="FS7" i="8"/>
  <c r="FT7" i="8"/>
  <c r="FU7" i="8"/>
  <c r="FV7" i="8"/>
  <c r="FW7" i="8"/>
  <c r="FX7" i="8"/>
  <c r="FY7" i="8"/>
  <c r="FZ7" i="8"/>
  <c r="GA7" i="8"/>
  <c r="GB7" i="8"/>
  <c r="GC7" i="8"/>
  <c r="GD7" i="8"/>
  <c r="GE7" i="8"/>
  <c r="GF7" i="8"/>
  <c r="GG7" i="8"/>
  <c r="GH7" i="8"/>
  <c r="GI7" i="8"/>
  <c r="GJ7" i="8"/>
  <c r="GK7" i="8"/>
  <c r="GL7" i="8"/>
  <c r="GM7" i="8"/>
  <c r="GN7" i="8"/>
  <c r="GO7" i="8"/>
  <c r="GP7" i="8"/>
  <c r="GQ7" i="8"/>
  <c r="GR7" i="8"/>
  <c r="GS7" i="8"/>
  <c r="GT7" i="8"/>
  <c r="GU7" i="8"/>
  <c r="GV7" i="8"/>
  <c r="GW7" i="8"/>
  <c r="GX7" i="8"/>
  <c r="GY7" i="8"/>
  <c r="GZ7" i="8"/>
  <c r="HA7" i="8"/>
  <c r="HB7" i="8"/>
  <c r="HC7" i="8"/>
  <c r="HD7" i="8"/>
  <c r="HE7" i="8"/>
  <c r="HF7" i="8"/>
  <c r="HG7" i="8"/>
  <c r="HH7" i="8"/>
  <c r="HI7" i="8"/>
  <c r="HJ7" i="8"/>
  <c r="HK7" i="8"/>
  <c r="HL7" i="8"/>
  <c r="HM7" i="8"/>
  <c r="HN7" i="8"/>
  <c r="HO7" i="8"/>
  <c r="HP7" i="8"/>
  <c r="HQ7" i="8"/>
  <c r="HR7" i="8"/>
  <c r="HS7" i="8"/>
  <c r="HT7" i="8"/>
  <c r="HU7" i="8"/>
  <c r="HV7" i="8"/>
  <c r="HW7" i="8"/>
  <c r="HX7" i="8"/>
  <c r="HY7" i="8"/>
  <c r="HZ7" i="8"/>
  <c r="IA7" i="8"/>
  <c r="IB7" i="8"/>
  <c r="IC7" i="8"/>
  <c r="ID7" i="8"/>
  <c r="IE7" i="8"/>
  <c r="IF7" i="8"/>
  <c r="IG7" i="8"/>
  <c r="IH7" i="8"/>
  <c r="II7" i="8"/>
  <c r="IJ7" i="8"/>
  <c r="IK7" i="8"/>
  <c r="IL7" i="8"/>
  <c r="IM7" i="8"/>
  <c r="IN7" i="8"/>
  <c r="IO7" i="8"/>
  <c r="IP7" i="8"/>
  <c r="IQ7" i="8"/>
  <c r="IR7" i="8"/>
  <c r="IS7" i="8"/>
  <c r="IT7" i="8"/>
  <c r="IU7" i="8"/>
  <c r="IV7"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BJ6" i="8"/>
  <c r="BK6" i="8"/>
  <c r="BL6" i="8"/>
  <c r="BM6" i="8"/>
  <c r="BN6" i="8"/>
  <c r="BO6" i="8"/>
  <c r="BP6" i="8"/>
  <c r="BQ6" i="8"/>
  <c r="BR6" i="8"/>
  <c r="BS6" i="8"/>
  <c r="BT6" i="8"/>
  <c r="BU6" i="8"/>
  <c r="BV6" i="8"/>
  <c r="BW6" i="8"/>
  <c r="BX6" i="8"/>
  <c r="BY6" i="8"/>
  <c r="BZ6" i="8"/>
  <c r="CA6" i="8"/>
  <c r="CB6" i="8"/>
  <c r="CC6" i="8"/>
  <c r="CD6" i="8"/>
  <c r="CE6" i="8"/>
  <c r="CF6" i="8"/>
  <c r="CG6" i="8"/>
  <c r="CH6" i="8"/>
  <c r="CI6" i="8"/>
  <c r="CJ6" i="8"/>
  <c r="CK6" i="8"/>
  <c r="CL6" i="8"/>
  <c r="CM6" i="8"/>
  <c r="CN6" i="8"/>
  <c r="CO6" i="8"/>
  <c r="CP6" i="8"/>
  <c r="CQ6" i="8"/>
  <c r="CR6" i="8"/>
  <c r="CS6" i="8"/>
  <c r="CT6" i="8"/>
  <c r="CU6" i="8"/>
  <c r="CV6" i="8"/>
  <c r="CW6" i="8"/>
  <c r="CX6" i="8"/>
  <c r="CY6" i="8"/>
  <c r="CZ6" i="8"/>
  <c r="DA6" i="8"/>
  <c r="DB6" i="8"/>
  <c r="DC6" i="8"/>
  <c r="DD6" i="8"/>
  <c r="DE6" i="8"/>
  <c r="DF6" i="8"/>
  <c r="DG6" i="8"/>
  <c r="DH6" i="8"/>
  <c r="DI6" i="8"/>
  <c r="DJ6" i="8"/>
  <c r="DK6" i="8"/>
  <c r="DL6" i="8"/>
  <c r="DM6" i="8"/>
  <c r="DN6" i="8"/>
  <c r="DO6" i="8"/>
  <c r="DP6" i="8"/>
  <c r="DQ6" i="8"/>
  <c r="DR6" i="8"/>
  <c r="DS6" i="8"/>
  <c r="DT6" i="8"/>
  <c r="DU6" i="8"/>
  <c r="DV6" i="8"/>
  <c r="DW6" i="8"/>
  <c r="DX6" i="8"/>
  <c r="DY6" i="8"/>
  <c r="DZ6" i="8"/>
  <c r="EA6" i="8"/>
  <c r="EB6" i="8"/>
  <c r="EC6" i="8"/>
  <c r="ED6" i="8"/>
  <c r="EE6" i="8"/>
  <c r="EF6" i="8"/>
  <c r="EG6" i="8"/>
  <c r="EH6" i="8"/>
  <c r="EI6" i="8"/>
  <c r="EJ6" i="8"/>
  <c r="EK6" i="8"/>
  <c r="EL6" i="8"/>
  <c r="EM6" i="8"/>
  <c r="EN6" i="8"/>
  <c r="EO6" i="8"/>
  <c r="EP6" i="8"/>
  <c r="EQ6" i="8"/>
  <c r="ER6" i="8"/>
  <c r="ES6" i="8"/>
  <c r="ET6" i="8"/>
  <c r="EU6" i="8"/>
  <c r="EV6" i="8"/>
  <c r="EW6" i="8"/>
  <c r="EX6" i="8"/>
  <c r="EY6" i="8"/>
  <c r="EZ6" i="8"/>
  <c r="FA6" i="8"/>
  <c r="FB6" i="8"/>
  <c r="FC6" i="8"/>
  <c r="FD6" i="8"/>
  <c r="FE6" i="8"/>
  <c r="FF6" i="8"/>
  <c r="FG6" i="8"/>
  <c r="FH6" i="8"/>
  <c r="FI6" i="8"/>
  <c r="FJ6" i="8"/>
  <c r="FK6" i="8"/>
  <c r="FL6" i="8"/>
  <c r="FM6" i="8"/>
  <c r="FN6" i="8"/>
  <c r="FO6" i="8"/>
  <c r="FP6" i="8"/>
  <c r="FQ6" i="8"/>
  <c r="FR6" i="8"/>
  <c r="FS6" i="8"/>
  <c r="FT6" i="8"/>
  <c r="FU6" i="8"/>
  <c r="FV6" i="8"/>
  <c r="FW6" i="8"/>
  <c r="FX6" i="8"/>
  <c r="FY6" i="8"/>
  <c r="FZ6" i="8"/>
  <c r="GA6" i="8"/>
  <c r="GB6" i="8"/>
  <c r="GC6" i="8"/>
  <c r="GD6" i="8"/>
  <c r="GE6" i="8"/>
  <c r="GF6" i="8"/>
  <c r="GG6" i="8"/>
  <c r="GH6" i="8"/>
  <c r="GI6" i="8"/>
  <c r="GJ6" i="8"/>
  <c r="GK6" i="8"/>
  <c r="GL6" i="8"/>
  <c r="GM6" i="8"/>
  <c r="GN6" i="8"/>
  <c r="GO6" i="8"/>
  <c r="GP6" i="8"/>
  <c r="GQ6" i="8"/>
  <c r="GR6" i="8"/>
  <c r="GS6" i="8"/>
  <c r="GT6" i="8"/>
  <c r="GU6" i="8"/>
  <c r="GV6" i="8"/>
  <c r="GW6" i="8"/>
  <c r="GX6" i="8"/>
  <c r="GY6" i="8"/>
  <c r="GZ6" i="8"/>
  <c r="HA6" i="8"/>
  <c r="HB6" i="8"/>
  <c r="HC6" i="8"/>
  <c r="HD6" i="8"/>
  <c r="HE6" i="8"/>
  <c r="HF6" i="8"/>
  <c r="HG6" i="8"/>
  <c r="HH6" i="8"/>
  <c r="HI6" i="8"/>
  <c r="HJ6" i="8"/>
  <c r="HK6" i="8"/>
  <c r="HL6" i="8"/>
  <c r="HM6" i="8"/>
  <c r="HN6" i="8"/>
  <c r="HO6" i="8"/>
  <c r="HP6" i="8"/>
  <c r="HQ6" i="8"/>
  <c r="HR6" i="8"/>
  <c r="HS6" i="8"/>
  <c r="HT6" i="8"/>
  <c r="HU6" i="8"/>
  <c r="HV6" i="8"/>
  <c r="HW6" i="8"/>
  <c r="HX6" i="8"/>
  <c r="HY6" i="8"/>
  <c r="HZ6" i="8"/>
  <c r="IA6" i="8"/>
  <c r="IB6" i="8"/>
  <c r="IC6" i="8"/>
  <c r="ID6" i="8"/>
  <c r="IE6" i="8"/>
  <c r="IF6" i="8"/>
  <c r="IG6" i="8"/>
  <c r="IH6" i="8"/>
  <c r="II6" i="8"/>
  <c r="IJ6" i="8"/>
  <c r="IK6" i="8"/>
  <c r="IL6" i="8"/>
  <c r="IM6" i="8"/>
  <c r="IN6" i="8"/>
  <c r="IO6" i="8"/>
  <c r="IP6" i="8"/>
  <c r="IQ6" i="8"/>
  <c r="IR6" i="8"/>
  <c r="IS6" i="8"/>
  <c r="IT6" i="8"/>
  <c r="IU6" i="8"/>
  <c r="IV6"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BJ5" i="8"/>
  <c r="BK5" i="8"/>
  <c r="BL5" i="8"/>
  <c r="BM5" i="8"/>
  <c r="BN5" i="8"/>
  <c r="BO5" i="8"/>
  <c r="BP5" i="8"/>
  <c r="BQ5" i="8"/>
  <c r="BR5" i="8"/>
  <c r="BS5" i="8"/>
  <c r="BT5" i="8"/>
  <c r="BU5" i="8"/>
  <c r="BV5" i="8"/>
  <c r="BW5" i="8"/>
  <c r="BX5" i="8"/>
  <c r="BY5" i="8"/>
  <c r="BZ5" i="8"/>
  <c r="CA5" i="8"/>
  <c r="CB5" i="8"/>
  <c r="CC5" i="8"/>
  <c r="CD5" i="8"/>
  <c r="CE5" i="8"/>
  <c r="CF5" i="8"/>
  <c r="CG5" i="8"/>
  <c r="CH5" i="8"/>
  <c r="CI5" i="8"/>
  <c r="CJ5" i="8"/>
  <c r="CK5" i="8"/>
  <c r="CL5" i="8"/>
  <c r="CM5" i="8"/>
  <c r="CN5" i="8"/>
  <c r="CO5" i="8"/>
  <c r="CP5" i="8"/>
  <c r="CQ5" i="8"/>
  <c r="CR5" i="8"/>
  <c r="CS5" i="8"/>
  <c r="CT5" i="8"/>
  <c r="CU5" i="8"/>
  <c r="CV5" i="8"/>
  <c r="CW5" i="8"/>
  <c r="CX5" i="8"/>
  <c r="CY5" i="8"/>
  <c r="CZ5" i="8"/>
  <c r="DA5" i="8"/>
  <c r="DB5" i="8"/>
  <c r="DC5" i="8"/>
  <c r="DD5" i="8"/>
  <c r="DE5" i="8"/>
  <c r="DF5" i="8"/>
  <c r="DG5" i="8"/>
  <c r="DH5" i="8"/>
  <c r="DI5" i="8"/>
  <c r="DJ5" i="8"/>
  <c r="DK5" i="8"/>
  <c r="DL5" i="8"/>
  <c r="DM5" i="8"/>
  <c r="DN5" i="8"/>
  <c r="DO5" i="8"/>
  <c r="DP5" i="8"/>
  <c r="DQ5" i="8"/>
  <c r="DR5" i="8"/>
  <c r="DS5" i="8"/>
  <c r="DT5" i="8"/>
  <c r="DU5" i="8"/>
  <c r="DV5" i="8"/>
  <c r="DW5" i="8"/>
  <c r="DX5" i="8"/>
  <c r="DY5" i="8"/>
  <c r="DZ5" i="8"/>
  <c r="EA5" i="8"/>
  <c r="EB5" i="8"/>
  <c r="EC5" i="8"/>
  <c r="ED5" i="8"/>
  <c r="EE5" i="8"/>
  <c r="EF5" i="8"/>
  <c r="EG5" i="8"/>
  <c r="EH5" i="8"/>
  <c r="EI5" i="8"/>
  <c r="EJ5" i="8"/>
  <c r="EK5" i="8"/>
  <c r="EL5" i="8"/>
  <c r="EM5" i="8"/>
  <c r="EN5" i="8"/>
  <c r="EO5" i="8"/>
  <c r="EP5" i="8"/>
  <c r="EQ5" i="8"/>
  <c r="ER5" i="8"/>
  <c r="ES5" i="8"/>
  <c r="ET5" i="8"/>
  <c r="EU5" i="8"/>
  <c r="EV5" i="8"/>
  <c r="EW5" i="8"/>
  <c r="EX5" i="8"/>
  <c r="EY5" i="8"/>
  <c r="EZ5" i="8"/>
  <c r="FA5" i="8"/>
  <c r="FB5" i="8"/>
  <c r="FC5" i="8"/>
  <c r="FD5" i="8"/>
  <c r="FE5" i="8"/>
  <c r="FF5" i="8"/>
  <c r="FG5" i="8"/>
  <c r="FH5" i="8"/>
  <c r="FI5" i="8"/>
  <c r="FJ5" i="8"/>
  <c r="FK5" i="8"/>
  <c r="FL5" i="8"/>
  <c r="FM5" i="8"/>
  <c r="FN5" i="8"/>
  <c r="FO5" i="8"/>
  <c r="FP5" i="8"/>
  <c r="FQ5" i="8"/>
  <c r="FR5" i="8"/>
  <c r="FS5" i="8"/>
  <c r="FT5" i="8"/>
  <c r="FU5" i="8"/>
  <c r="FV5" i="8"/>
  <c r="FW5" i="8"/>
  <c r="FX5" i="8"/>
  <c r="FY5" i="8"/>
  <c r="FZ5" i="8"/>
  <c r="GA5" i="8"/>
  <c r="GB5" i="8"/>
  <c r="GC5" i="8"/>
  <c r="GD5" i="8"/>
  <c r="GE5" i="8"/>
  <c r="GF5" i="8"/>
  <c r="GG5" i="8"/>
  <c r="GH5" i="8"/>
  <c r="GI5" i="8"/>
  <c r="GJ5" i="8"/>
  <c r="GK5" i="8"/>
  <c r="GL5" i="8"/>
  <c r="GM5" i="8"/>
  <c r="GN5" i="8"/>
  <c r="GO5" i="8"/>
  <c r="GP5" i="8"/>
  <c r="GQ5" i="8"/>
  <c r="GR5" i="8"/>
  <c r="GS5" i="8"/>
  <c r="GT5" i="8"/>
  <c r="GU5" i="8"/>
  <c r="GV5" i="8"/>
  <c r="GW5" i="8"/>
  <c r="GX5" i="8"/>
  <c r="GY5" i="8"/>
  <c r="GZ5" i="8"/>
  <c r="HA5" i="8"/>
  <c r="HB5" i="8"/>
  <c r="HC5" i="8"/>
  <c r="HD5" i="8"/>
  <c r="HE5" i="8"/>
  <c r="HF5" i="8"/>
  <c r="HG5" i="8"/>
  <c r="HH5" i="8"/>
  <c r="HI5" i="8"/>
  <c r="HJ5" i="8"/>
  <c r="HK5" i="8"/>
  <c r="HL5" i="8"/>
  <c r="HM5" i="8"/>
  <c r="HN5" i="8"/>
  <c r="HO5" i="8"/>
  <c r="HP5" i="8"/>
  <c r="HQ5" i="8"/>
  <c r="HR5" i="8"/>
  <c r="HS5" i="8"/>
  <c r="HT5" i="8"/>
  <c r="HU5" i="8"/>
  <c r="HV5" i="8"/>
  <c r="HW5" i="8"/>
  <c r="HX5" i="8"/>
  <c r="HY5" i="8"/>
  <c r="HZ5" i="8"/>
  <c r="IA5" i="8"/>
  <c r="IB5" i="8"/>
  <c r="IC5" i="8"/>
  <c r="ID5" i="8"/>
  <c r="IE5" i="8"/>
  <c r="IF5" i="8"/>
  <c r="IG5" i="8"/>
  <c r="IH5" i="8"/>
  <c r="II5" i="8"/>
  <c r="IJ5" i="8"/>
  <c r="IK5" i="8"/>
  <c r="IL5" i="8"/>
  <c r="IM5" i="8"/>
  <c r="IN5" i="8"/>
  <c r="IO5" i="8"/>
  <c r="IP5" i="8"/>
  <c r="IQ5" i="8"/>
  <c r="IR5" i="8"/>
  <c r="IS5" i="8"/>
  <c r="IT5" i="8"/>
  <c r="IU5" i="8"/>
  <c r="IV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BJ4" i="8"/>
  <c r="BK4" i="8"/>
  <c r="BL4" i="8"/>
  <c r="BM4" i="8"/>
  <c r="BN4" i="8"/>
  <c r="BO4" i="8"/>
  <c r="BP4" i="8"/>
  <c r="BQ4" i="8"/>
  <c r="BR4" i="8"/>
  <c r="BS4" i="8"/>
  <c r="BT4" i="8"/>
  <c r="BU4" i="8"/>
  <c r="BV4" i="8"/>
  <c r="BW4" i="8"/>
  <c r="BX4" i="8"/>
  <c r="BY4" i="8"/>
  <c r="BZ4" i="8"/>
  <c r="CA4" i="8"/>
  <c r="CB4" i="8"/>
  <c r="CC4" i="8"/>
  <c r="CD4" i="8"/>
  <c r="CE4" i="8"/>
  <c r="CF4" i="8"/>
  <c r="CG4" i="8"/>
  <c r="CH4" i="8"/>
  <c r="CI4" i="8"/>
  <c r="CJ4" i="8"/>
  <c r="CK4" i="8"/>
  <c r="CL4" i="8"/>
  <c r="CM4" i="8"/>
  <c r="CN4" i="8"/>
  <c r="CO4" i="8"/>
  <c r="CP4" i="8"/>
  <c r="CQ4" i="8"/>
  <c r="CR4" i="8"/>
  <c r="CS4" i="8"/>
  <c r="CT4" i="8"/>
  <c r="CU4" i="8"/>
  <c r="CV4" i="8"/>
  <c r="CW4" i="8"/>
  <c r="CX4" i="8"/>
  <c r="CY4" i="8"/>
  <c r="CZ4" i="8"/>
  <c r="DA4" i="8"/>
  <c r="DB4" i="8"/>
  <c r="DC4" i="8"/>
  <c r="DD4" i="8"/>
  <c r="DE4" i="8"/>
  <c r="DF4" i="8"/>
  <c r="DG4" i="8"/>
  <c r="DH4" i="8"/>
  <c r="DI4" i="8"/>
  <c r="DJ4" i="8"/>
  <c r="DK4" i="8"/>
  <c r="DL4" i="8"/>
  <c r="DM4" i="8"/>
  <c r="DN4" i="8"/>
  <c r="DO4" i="8"/>
  <c r="DP4" i="8"/>
  <c r="DQ4" i="8"/>
  <c r="DR4" i="8"/>
  <c r="DS4" i="8"/>
  <c r="DT4" i="8"/>
  <c r="DU4" i="8"/>
  <c r="DV4" i="8"/>
  <c r="DW4" i="8"/>
  <c r="DX4" i="8"/>
  <c r="DY4" i="8"/>
  <c r="DZ4" i="8"/>
  <c r="EA4" i="8"/>
  <c r="EB4" i="8"/>
  <c r="EC4" i="8"/>
  <c r="ED4" i="8"/>
  <c r="EE4" i="8"/>
  <c r="EF4" i="8"/>
  <c r="EG4" i="8"/>
  <c r="EH4" i="8"/>
  <c r="EI4" i="8"/>
  <c r="EJ4" i="8"/>
  <c r="EK4" i="8"/>
  <c r="EL4" i="8"/>
  <c r="EM4" i="8"/>
  <c r="EN4" i="8"/>
  <c r="EO4" i="8"/>
  <c r="EP4" i="8"/>
  <c r="EQ4" i="8"/>
  <c r="ER4" i="8"/>
  <c r="ES4" i="8"/>
  <c r="ET4" i="8"/>
  <c r="EU4" i="8"/>
  <c r="EV4" i="8"/>
  <c r="EW4" i="8"/>
  <c r="EX4" i="8"/>
  <c r="EY4" i="8"/>
  <c r="EZ4" i="8"/>
  <c r="FA4" i="8"/>
  <c r="FB4" i="8"/>
  <c r="FC4" i="8"/>
  <c r="FD4" i="8"/>
  <c r="FE4" i="8"/>
  <c r="FF4" i="8"/>
  <c r="FG4" i="8"/>
  <c r="FH4" i="8"/>
  <c r="FI4" i="8"/>
  <c r="FJ4" i="8"/>
  <c r="FK4" i="8"/>
  <c r="FL4" i="8"/>
  <c r="FM4" i="8"/>
  <c r="FN4" i="8"/>
  <c r="FO4" i="8"/>
  <c r="FP4" i="8"/>
  <c r="FQ4" i="8"/>
  <c r="FR4" i="8"/>
  <c r="FS4" i="8"/>
  <c r="FT4" i="8"/>
  <c r="FU4" i="8"/>
  <c r="FV4" i="8"/>
  <c r="FW4" i="8"/>
  <c r="FX4" i="8"/>
  <c r="FY4" i="8"/>
  <c r="FZ4" i="8"/>
  <c r="GA4" i="8"/>
  <c r="GB4" i="8"/>
  <c r="GC4" i="8"/>
  <c r="GD4" i="8"/>
  <c r="GE4" i="8"/>
  <c r="GF4" i="8"/>
  <c r="GG4" i="8"/>
  <c r="GH4" i="8"/>
  <c r="GI4" i="8"/>
  <c r="GJ4" i="8"/>
  <c r="GK4" i="8"/>
  <c r="GL4" i="8"/>
  <c r="GM4" i="8"/>
  <c r="GN4" i="8"/>
  <c r="GO4" i="8"/>
  <c r="GP4" i="8"/>
  <c r="GQ4" i="8"/>
  <c r="GR4" i="8"/>
  <c r="GS4" i="8"/>
  <c r="GT4" i="8"/>
  <c r="GU4" i="8"/>
  <c r="GV4" i="8"/>
  <c r="GW4" i="8"/>
  <c r="GX4" i="8"/>
  <c r="GY4" i="8"/>
  <c r="GZ4" i="8"/>
  <c r="HA4" i="8"/>
  <c r="HB4" i="8"/>
  <c r="HC4" i="8"/>
  <c r="HD4" i="8"/>
  <c r="HE4" i="8"/>
  <c r="HF4" i="8"/>
  <c r="HG4" i="8"/>
  <c r="HH4" i="8"/>
  <c r="HI4" i="8"/>
  <c r="HJ4" i="8"/>
  <c r="HK4" i="8"/>
  <c r="HL4" i="8"/>
  <c r="HM4" i="8"/>
  <c r="HN4" i="8"/>
  <c r="HO4" i="8"/>
  <c r="HP4" i="8"/>
  <c r="HQ4" i="8"/>
  <c r="HR4" i="8"/>
  <c r="HS4" i="8"/>
  <c r="HT4" i="8"/>
  <c r="HU4" i="8"/>
  <c r="HV4" i="8"/>
  <c r="HW4" i="8"/>
  <c r="HX4" i="8"/>
  <c r="HY4" i="8"/>
  <c r="HZ4" i="8"/>
  <c r="IA4" i="8"/>
  <c r="IB4" i="8"/>
  <c r="IC4" i="8"/>
  <c r="ID4" i="8"/>
  <c r="IE4" i="8"/>
  <c r="IF4" i="8"/>
  <c r="IG4" i="8"/>
  <c r="IH4" i="8"/>
  <c r="II4" i="8"/>
  <c r="IJ4" i="8"/>
  <c r="IK4" i="8"/>
  <c r="IL4" i="8"/>
  <c r="IM4" i="8"/>
  <c r="IN4" i="8"/>
  <c r="IO4" i="8"/>
  <c r="IP4" i="8"/>
  <c r="IQ4" i="8"/>
  <c r="IR4" i="8"/>
  <c r="IS4" i="8"/>
  <c r="IT4" i="8"/>
  <c r="IU4" i="8"/>
  <c r="IV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BJ3" i="8"/>
  <c r="BK3" i="8"/>
  <c r="BL3" i="8"/>
  <c r="BM3" i="8"/>
  <c r="BN3" i="8"/>
  <c r="BO3" i="8"/>
  <c r="BP3" i="8"/>
  <c r="BQ3" i="8"/>
  <c r="BR3" i="8"/>
  <c r="BS3" i="8"/>
  <c r="BT3" i="8"/>
  <c r="BU3" i="8"/>
  <c r="BV3" i="8"/>
  <c r="BW3" i="8"/>
  <c r="BX3" i="8"/>
  <c r="BY3" i="8"/>
  <c r="BZ3" i="8"/>
  <c r="CA3" i="8"/>
  <c r="CB3" i="8"/>
  <c r="CC3" i="8"/>
  <c r="CD3" i="8"/>
  <c r="CE3" i="8"/>
  <c r="CF3" i="8"/>
  <c r="CG3" i="8"/>
  <c r="CH3" i="8"/>
  <c r="CI3" i="8"/>
  <c r="CJ3" i="8"/>
  <c r="CK3" i="8"/>
  <c r="CL3" i="8"/>
  <c r="CM3" i="8"/>
  <c r="CN3" i="8"/>
  <c r="CO3" i="8"/>
  <c r="CP3" i="8"/>
  <c r="CQ3" i="8"/>
  <c r="CR3" i="8"/>
  <c r="CS3" i="8"/>
  <c r="CT3" i="8"/>
  <c r="CU3" i="8"/>
  <c r="CV3" i="8"/>
  <c r="CW3" i="8"/>
  <c r="CX3" i="8"/>
  <c r="CY3" i="8"/>
  <c r="CZ3" i="8"/>
  <c r="DA3" i="8"/>
  <c r="DB3" i="8"/>
  <c r="DC3" i="8"/>
  <c r="DD3" i="8"/>
  <c r="DE3" i="8"/>
  <c r="DF3" i="8"/>
  <c r="DG3" i="8"/>
  <c r="DH3" i="8"/>
  <c r="DI3" i="8"/>
  <c r="DJ3" i="8"/>
  <c r="DK3" i="8"/>
  <c r="DL3" i="8"/>
  <c r="DM3" i="8"/>
  <c r="DN3" i="8"/>
  <c r="DO3" i="8"/>
  <c r="DP3" i="8"/>
  <c r="DQ3" i="8"/>
  <c r="DR3" i="8"/>
  <c r="DS3" i="8"/>
  <c r="DT3" i="8"/>
  <c r="DU3" i="8"/>
  <c r="DV3" i="8"/>
  <c r="DW3" i="8"/>
  <c r="DX3" i="8"/>
  <c r="DY3" i="8"/>
  <c r="DZ3" i="8"/>
  <c r="EA3" i="8"/>
  <c r="EB3" i="8"/>
  <c r="EC3" i="8"/>
  <c r="ED3" i="8"/>
  <c r="EE3" i="8"/>
  <c r="EF3" i="8"/>
  <c r="EG3" i="8"/>
  <c r="EH3" i="8"/>
  <c r="EI3" i="8"/>
  <c r="EJ3" i="8"/>
  <c r="EK3" i="8"/>
  <c r="EL3" i="8"/>
  <c r="EM3" i="8"/>
  <c r="EN3" i="8"/>
  <c r="EO3" i="8"/>
  <c r="EP3" i="8"/>
  <c r="EQ3" i="8"/>
  <c r="ER3" i="8"/>
  <c r="ES3" i="8"/>
  <c r="ET3" i="8"/>
  <c r="EU3" i="8"/>
  <c r="EV3" i="8"/>
  <c r="EW3" i="8"/>
  <c r="EX3" i="8"/>
  <c r="EY3" i="8"/>
  <c r="EZ3" i="8"/>
  <c r="FA3" i="8"/>
  <c r="FB3" i="8"/>
  <c r="FC3" i="8"/>
  <c r="FD3" i="8"/>
  <c r="FE3" i="8"/>
  <c r="FF3" i="8"/>
  <c r="FG3" i="8"/>
  <c r="FH3" i="8"/>
  <c r="FI3" i="8"/>
  <c r="FJ3" i="8"/>
  <c r="FK3" i="8"/>
  <c r="FL3" i="8"/>
  <c r="FM3" i="8"/>
  <c r="FN3" i="8"/>
  <c r="FO3" i="8"/>
  <c r="FP3" i="8"/>
  <c r="FQ3" i="8"/>
  <c r="FR3" i="8"/>
  <c r="FS3" i="8"/>
  <c r="FT3" i="8"/>
  <c r="FU3" i="8"/>
  <c r="FV3" i="8"/>
  <c r="FW3" i="8"/>
  <c r="FX3" i="8"/>
  <c r="FY3" i="8"/>
  <c r="FZ3" i="8"/>
  <c r="GA3" i="8"/>
  <c r="GB3" i="8"/>
  <c r="GC3" i="8"/>
  <c r="GD3" i="8"/>
  <c r="GE3" i="8"/>
  <c r="GF3" i="8"/>
  <c r="GG3" i="8"/>
  <c r="GH3" i="8"/>
  <c r="GI3" i="8"/>
  <c r="GJ3" i="8"/>
  <c r="GK3" i="8"/>
  <c r="GL3" i="8"/>
  <c r="GM3" i="8"/>
  <c r="GN3" i="8"/>
  <c r="GO3" i="8"/>
  <c r="GP3" i="8"/>
  <c r="GQ3" i="8"/>
  <c r="GR3" i="8"/>
  <c r="GS3" i="8"/>
  <c r="GT3" i="8"/>
  <c r="GU3" i="8"/>
  <c r="GV3" i="8"/>
  <c r="GW3" i="8"/>
  <c r="GX3" i="8"/>
  <c r="GY3" i="8"/>
  <c r="GZ3" i="8"/>
  <c r="HA3" i="8"/>
  <c r="HB3" i="8"/>
  <c r="HC3" i="8"/>
  <c r="HD3" i="8"/>
  <c r="HE3" i="8"/>
  <c r="HF3" i="8"/>
  <c r="HG3" i="8"/>
  <c r="HH3" i="8"/>
  <c r="HI3" i="8"/>
  <c r="HJ3" i="8"/>
  <c r="HK3" i="8"/>
  <c r="HL3" i="8"/>
  <c r="HM3" i="8"/>
  <c r="HN3" i="8"/>
  <c r="HO3" i="8"/>
  <c r="HP3" i="8"/>
  <c r="HQ3" i="8"/>
  <c r="HR3" i="8"/>
  <c r="HS3" i="8"/>
  <c r="HT3" i="8"/>
  <c r="HU3" i="8"/>
  <c r="HV3" i="8"/>
  <c r="HW3" i="8"/>
  <c r="HX3" i="8"/>
  <c r="HY3" i="8"/>
  <c r="HZ3" i="8"/>
  <c r="IA3" i="8"/>
  <c r="IB3" i="8"/>
  <c r="IC3" i="8"/>
  <c r="ID3" i="8"/>
  <c r="IE3" i="8"/>
  <c r="IF3" i="8"/>
  <c r="IG3" i="8"/>
  <c r="IH3" i="8"/>
  <c r="II3" i="8"/>
  <c r="IJ3" i="8"/>
  <c r="IK3" i="8"/>
  <c r="IL3" i="8"/>
  <c r="IM3" i="8"/>
  <c r="IN3" i="8"/>
  <c r="IO3" i="8"/>
  <c r="IP3" i="8"/>
  <c r="IQ3" i="8"/>
  <c r="IR3" i="8"/>
  <c r="IS3" i="8"/>
  <c r="IT3" i="8"/>
  <c r="IU3" i="8"/>
  <c r="IV3" i="8"/>
  <c r="A2" i="8"/>
  <c r="B2" i="8"/>
  <c r="C2" i="8"/>
  <c r="D2" i="8"/>
  <c r="E2" i="8"/>
  <c r="F2" i="8"/>
  <c r="G2" i="8"/>
  <c r="H2" i="8"/>
  <c r="I2" i="8"/>
  <c r="J2" i="8"/>
  <c r="K2" i="8"/>
  <c r="L2" i="8"/>
  <c r="M2" i="8"/>
  <c r="N2" i="8"/>
  <c r="O2" i="8"/>
  <c r="P2" i="8"/>
  <c r="Q2" i="8"/>
  <c r="R2" i="8"/>
  <c r="S2" i="8"/>
  <c r="T2" i="8"/>
  <c r="U2" i="8"/>
  <c r="V2" i="8"/>
  <c r="W2" i="8"/>
  <c r="X2" i="8"/>
  <c r="Y2" i="8"/>
  <c r="Z2" i="8"/>
  <c r="AA2" i="8"/>
  <c r="AB2" i="8"/>
  <c r="AC2" i="8"/>
  <c r="AD2" i="8"/>
  <c r="AE2" i="8"/>
  <c r="AF2" i="8"/>
  <c r="AG2" i="8"/>
  <c r="AH2" i="8"/>
  <c r="AI2" i="8"/>
  <c r="AJ2" i="8"/>
  <c r="AK2" i="8"/>
  <c r="AL2" i="8"/>
  <c r="AM2" i="8"/>
  <c r="AN2" i="8"/>
  <c r="AO2" i="8"/>
  <c r="AP2" i="8"/>
  <c r="AQ2" i="8"/>
  <c r="AR2" i="8"/>
  <c r="AS2" i="8"/>
  <c r="AT2" i="8"/>
  <c r="AU2" i="8"/>
  <c r="AV2" i="8"/>
  <c r="AW2" i="8"/>
  <c r="AX2" i="8"/>
  <c r="AY2" i="8"/>
  <c r="AZ2" i="8"/>
  <c r="BA2" i="8"/>
  <c r="BB2" i="8"/>
  <c r="BC2" i="8"/>
  <c r="BD2" i="8"/>
  <c r="BE2" i="8"/>
  <c r="BF2" i="8"/>
  <c r="BG2" i="8"/>
  <c r="BH2" i="8"/>
  <c r="BI2" i="8"/>
  <c r="BJ2" i="8"/>
  <c r="BK2" i="8"/>
  <c r="BL2" i="8"/>
  <c r="BM2" i="8"/>
  <c r="BN2" i="8"/>
  <c r="BO2" i="8"/>
  <c r="BP2" i="8"/>
  <c r="BQ2" i="8"/>
  <c r="BR2" i="8"/>
  <c r="BS2" i="8"/>
  <c r="BT2" i="8"/>
  <c r="BU2" i="8"/>
  <c r="BV2" i="8"/>
  <c r="BW2" i="8"/>
  <c r="BX2" i="8"/>
  <c r="BY2" i="8"/>
  <c r="BZ2" i="8"/>
  <c r="CA2" i="8"/>
  <c r="CB2" i="8"/>
  <c r="CC2" i="8"/>
  <c r="CD2" i="8"/>
  <c r="CE2" i="8"/>
  <c r="CF2" i="8"/>
  <c r="CG2" i="8"/>
  <c r="CH2" i="8"/>
  <c r="CI2" i="8"/>
  <c r="CJ2" i="8"/>
  <c r="CK2" i="8"/>
  <c r="CL2" i="8"/>
  <c r="CM2" i="8"/>
  <c r="CN2" i="8"/>
  <c r="CO2" i="8"/>
  <c r="CP2" i="8"/>
  <c r="CQ2" i="8"/>
  <c r="CR2" i="8"/>
  <c r="CS2" i="8"/>
  <c r="CT2" i="8"/>
  <c r="CU2" i="8"/>
  <c r="CV2" i="8"/>
  <c r="CW2" i="8"/>
  <c r="CX2" i="8"/>
  <c r="CY2" i="8"/>
  <c r="CZ2" i="8"/>
  <c r="DA2" i="8"/>
  <c r="DB2" i="8"/>
  <c r="DC2" i="8"/>
  <c r="DD2" i="8"/>
  <c r="DE2" i="8"/>
  <c r="DF2" i="8"/>
  <c r="DG2" i="8"/>
  <c r="DH2" i="8"/>
  <c r="DI2" i="8"/>
  <c r="DJ2" i="8"/>
  <c r="DK2" i="8"/>
  <c r="DL2" i="8"/>
  <c r="DM2" i="8"/>
  <c r="DN2" i="8"/>
  <c r="DO2" i="8"/>
  <c r="DP2" i="8"/>
  <c r="DQ2" i="8"/>
  <c r="DR2" i="8"/>
  <c r="DS2" i="8"/>
  <c r="DT2" i="8"/>
  <c r="DU2" i="8"/>
  <c r="DV2" i="8"/>
  <c r="DW2" i="8"/>
  <c r="DX2" i="8"/>
  <c r="DY2" i="8"/>
  <c r="DZ2" i="8"/>
  <c r="EA2" i="8"/>
  <c r="EB2" i="8"/>
  <c r="EC2" i="8"/>
  <c r="ED2" i="8"/>
  <c r="EE2" i="8"/>
  <c r="EF2" i="8"/>
  <c r="EG2" i="8"/>
  <c r="EH2" i="8"/>
  <c r="EI2" i="8"/>
  <c r="EJ2" i="8"/>
  <c r="EK2" i="8"/>
  <c r="EL2" i="8"/>
  <c r="EM2" i="8"/>
  <c r="EN2" i="8"/>
  <c r="EO2" i="8"/>
  <c r="EP2" i="8"/>
  <c r="EQ2" i="8"/>
  <c r="ER2" i="8"/>
  <c r="ES2" i="8"/>
  <c r="ET2" i="8"/>
  <c r="EU2" i="8"/>
  <c r="EV2" i="8"/>
  <c r="EW2" i="8"/>
  <c r="EX2" i="8"/>
  <c r="EY2" i="8"/>
  <c r="EZ2" i="8"/>
  <c r="FA2" i="8"/>
  <c r="FB2" i="8"/>
  <c r="FC2" i="8"/>
  <c r="FD2" i="8"/>
  <c r="FE2" i="8"/>
  <c r="FF2" i="8"/>
  <c r="FG2" i="8"/>
  <c r="FH2" i="8"/>
  <c r="FI2" i="8"/>
  <c r="FJ2" i="8"/>
  <c r="FK2" i="8"/>
  <c r="FL2" i="8"/>
  <c r="FM2" i="8"/>
  <c r="FN2" i="8"/>
  <c r="FO2" i="8"/>
  <c r="FP2" i="8"/>
  <c r="FQ2" i="8"/>
  <c r="FR2" i="8"/>
  <c r="FS2" i="8"/>
  <c r="FT2" i="8"/>
  <c r="FU2" i="8"/>
  <c r="FV2" i="8"/>
  <c r="FW2" i="8"/>
  <c r="FX2" i="8"/>
  <c r="FY2" i="8"/>
  <c r="FZ2" i="8"/>
  <c r="GA2" i="8"/>
  <c r="GB2" i="8"/>
  <c r="GC2" i="8"/>
  <c r="GD2" i="8"/>
  <c r="GE2" i="8"/>
  <c r="GF2" i="8"/>
  <c r="GG2" i="8"/>
  <c r="GH2" i="8"/>
  <c r="GI2" i="8"/>
  <c r="GJ2" i="8"/>
  <c r="GK2" i="8"/>
  <c r="GL2" i="8"/>
  <c r="GM2" i="8"/>
  <c r="GN2" i="8"/>
  <c r="GO2" i="8"/>
  <c r="GP2" i="8"/>
  <c r="GQ2" i="8"/>
  <c r="GR2" i="8"/>
  <c r="GS2" i="8"/>
  <c r="GT2" i="8"/>
  <c r="GU2" i="8"/>
  <c r="GV2" i="8"/>
  <c r="GW2" i="8"/>
  <c r="GX2" i="8"/>
  <c r="GY2" i="8"/>
  <c r="GZ2" i="8"/>
  <c r="HA2" i="8"/>
  <c r="HB2" i="8"/>
  <c r="HC2" i="8"/>
  <c r="HD2" i="8"/>
  <c r="HE2" i="8"/>
  <c r="HF2" i="8"/>
  <c r="HG2" i="8"/>
  <c r="HH2" i="8"/>
  <c r="HI2" i="8"/>
  <c r="HJ2" i="8"/>
  <c r="HK2" i="8"/>
  <c r="HL2" i="8"/>
  <c r="HM2" i="8"/>
  <c r="HN2" i="8"/>
  <c r="HO2" i="8"/>
  <c r="HP2" i="8"/>
  <c r="HQ2" i="8"/>
  <c r="HR2" i="8"/>
  <c r="HS2" i="8"/>
  <c r="HT2" i="8"/>
  <c r="HU2" i="8"/>
  <c r="HV2" i="8"/>
  <c r="HW2" i="8"/>
  <c r="HX2" i="8"/>
  <c r="HY2" i="8"/>
  <c r="HZ2" i="8"/>
  <c r="IA2" i="8"/>
  <c r="IB2" i="8"/>
  <c r="IC2" i="8"/>
  <c r="ID2" i="8"/>
  <c r="IE2" i="8"/>
  <c r="IF2" i="8"/>
  <c r="IG2" i="8"/>
  <c r="IH2" i="8"/>
  <c r="II2" i="8"/>
  <c r="IJ2" i="8"/>
  <c r="IK2" i="8"/>
  <c r="IL2" i="8"/>
  <c r="IM2" i="8"/>
  <c r="IN2" i="8"/>
  <c r="IO2" i="8"/>
  <c r="IP2" i="8"/>
  <c r="IQ2" i="8"/>
  <c r="IR2" i="8"/>
  <c r="IS2" i="8"/>
  <c r="IT2" i="8"/>
  <c r="IU2" i="8"/>
  <c r="IV2" i="8"/>
  <c r="A1" i="8"/>
  <c r="B1" i="8"/>
  <c r="C1" i="8"/>
  <c r="D1" i="8"/>
  <c r="E1" i="8"/>
  <c r="F1" i="8"/>
  <c r="G1" i="8"/>
  <c r="H1" i="8"/>
  <c r="I1" i="8"/>
  <c r="J1" i="8"/>
  <c r="K1" i="8"/>
  <c r="L1" i="8"/>
  <c r="M1" i="8"/>
  <c r="N1" i="8"/>
  <c r="O1" i="8"/>
  <c r="P1" i="8"/>
  <c r="Q1" i="8"/>
  <c r="R1" i="8"/>
  <c r="S1" i="8"/>
  <c r="T1" i="8"/>
  <c r="U1" i="8"/>
  <c r="V1" i="8"/>
  <c r="W1" i="8"/>
  <c r="X1" i="8"/>
  <c r="Y1" i="8"/>
  <c r="Z1" i="8"/>
  <c r="AA1" i="8"/>
  <c r="AB1" i="8"/>
  <c r="AC1" i="8"/>
  <c r="AD1" i="8"/>
  <c r="AE1" i="8"/>
  <c r="AF1" i="8"/>
  <c r="AG1" i="8"/>
  <c r="AH1" i="8"/>
  <c r="AI1" i="8"/>
  <c r="AJ1" i="8"/>
  <c r="AK1" i="8"/>
  <c r="AL1" i="8"/>
  <c r="AM1" i="8"/>
  <c r="AN1" i="8"/>
  <c r="AO1" i="8"/>
  <c r="AP1" i="8"/>
  <c r="AQ1" i="8"/>
  <c r="AR1" i="8"/>
  <c r="AS1" i="8"/>
  <c r="AT1" i="8"/>
  <c r="AU1" i="8"/>
  <c r="AV1" i="8"/>
  <c r="AW1" i="8"/>
  <c r="AX1" i="8"/>
  <c r="AY1" i="8"/>
  <c r="AZ1" i="8"/>
  <c r="BA1" i="8"/>
  <c r="BB1" i="8"/>
  <c r="BC1" i="8"/>
  <c r="BD1" i="8"/>
  <c r="BE1" i="8"/>
  <c r="BF1" i="8"/>
  <c r="BG1" i="8"/>
  <c r="BH1" i="8"/>
  <c r="BI1" i="8"/>
  <c r="BJ1" i="8"/>
  <c r="BK1" i="8"/>
  <c r="BL1" i="8"/>
  <c r="BM1" i="8"/>
  <c r="BN1" i="8"/>
  <c r="BO1" i="8"/>
  <c r="BP1" i="8"/>
  <c r="BQ1" i="8"/>
  <c r="BR1" i="8"/>
  <c r="BS1" i="8"/>
  <c r="BT1" i="8"/>
  <c r="BU1" i="8"/>
  <c r="BV1" i="8"/>
  <c r="BW1" i="8"/>
  <c r="BX1" i="8"/>
  <c r="BY1" i="8"/>
  <c r="BZ1" i="8"/>
  <c r="CA1" i="8"/>
  <c r="CB1" i="8"/>
  <c r="CC1" i="8"/>
  <c r="CD1" i="8"/>
  <c r="CE1" i="8"/>
  <c r="CF1" i="8"/>
  <c r="CG1" i="8"/>
  <c r="CH1" i="8"/>
  <c r="CI1" i="8"/>
  <c r="CJ1" i="8"/>
  <c r="CK1" i="8"/>
  <c r="CL1" i="8"/>
  <c r="CM1" i="8"/>
  <c r="CN1" i="8"/>
  <c r="CO1" i="8"/>
  <c r="CP1" i="8"/>
  <c r="CQ1" i="8"/>
  <c r="CR1" i="8"/>
  <c r="CS1" i="8"/>
  <c r="CT1" i="8"/>
  <c r="CU1" i="8"/>
  <c r="CV1" i="8"/>
  <c r="CW1" i="8"/>
  <c r="CX1" i="8"/>
  <c r="CY1" i="8"/>
  <c r="CZ1" i="8"/>
  <c r="DA1" i="8"/>
  <c r="DB1" i="8"/>
  <c r="DC1" i="8"/>
  <c r="DD1" i="8"/>
  <c r="DE1" i="8"/>
  <c r="DF1" i="8"/>
  <c r="DG1" i="8"/>
  <c r="DH1" i="8"/>
  <c r="DI1" i="8"/>
  <c r="DJ1" i="8"/>
  <c r="DK1" i="8"/>
  <c r="DL1" i="8"/>
  <c r="DM1" i="8"/>
  <c r="DN1" i="8"/>
  <c r="DO1" i="8"/>
  <c r="DP1" i="8"/>
  <c r="DQ1" i="8"/>
  <c r="DR1" i="8"/>
  <c r="DS1" i="8"/>
  <c r="DT1" i="8"/>
  <c r="DU1" i="8"/>
  <c r="DV1" i="8"/>
  <c r="DW1" i="8"/>
  <c r="DX1" i="8"/>
  <c r="DY1" i="8"/>
  <c r="DZ1" i="8"/>
  <c r="EA1" i="8"/>
  <c r="EB1" i="8"/>
  <c r="EC1" i="8"/>
  <c r="ED1" i="8"/>
  <c r="EE1" i="8"/>
  <c r="EF1" i="8"/>
  <c r="EG1" i="8"/>
  <c r="EH1" i="8"/>
  <c r="EI1" i="8"/>
  <c r="EJ1" i="8"/>
  <c r="EK1" i="8"/>
  <c r="EL1" i="8"/>
  <c r="EM1" i="8"/>
  <c r="EN1" i="8"/>
  <c r="EO1" i="8"/>
  <c r="EP1" i="8"/>
  <c r="EQ1" i="8"/>
  <c r="ER1" i="8"/>
  <c r="ES1" i="8"/>
  <c r="ET1" i="8"/>
  <c r="EU1" i="8"/>
  <c r="EV1" i="8"/>
  <c r="EW1" i="8"/>
  <c r="EX1" i="8"/>
  <c r="EY1" i="8"/>
  <c r="EZ1" i="8"/>
  <c r="FA1" i="8"/>
  <c r="FB1" i="8"/>
  <c r="FC1" i="8"/>
  <c r="FD1" i="8"/>
  <c r="FE1" i="8"/>
  <c r="FF1" i="8"/>
  <c r="FG1" i="8"/>
  <c r="FH1" i="8"/>
  <c r="FI1" i="8"/>
  <c r="FJ1" i="8"/>
  <c r="FK1" i="8"/>
  <c r="FL1" i="8"/>
  <c r="FM1" i="8"/>
  <c r="FN1" i="8"/>
  <c r="FO1" i="8"/>
  <c r="FP1" i="8"/>
  <c r="FQ1" i="8"/>
  <c r="FR1" i="8"/>
  <c r="FS1" i="8"/>
  <c r="FT1" i="8"/>
  <c r="FU1" i="8"/>
  <c r="FV1" i="8"/>
  <c r="FW1" i="8"/>
  <c r="FX1" i="8"/>
  <c r="FY1" i="8"/>
  <c r="FZ1" i="8"/>
  <c r="GA1" i="8"/>
  <c r="GB1" i="8"/>
  <c r="GC1" i="8"/>
  <c r="GD1" i="8"/>
  <c r="GE1" i="8"/>
  <c r="GF1" i="8"/>
  <c r="GG1" i="8"/>
  <c r="GH1" i="8"/>
  <c r="GI1" i="8"/>
  <c r="GJ1" i="8"/>
  <c r="GK1" i="8"/>
  <c r="GL1" i="8"/>
  <c r="GM1" i="8"/>
  <c r="GN1" i="8"/>
  <c r="GO1" i="8"/>
  <c r="GP1" i="8"/>
  <c r="GQ1" i="8"/>
  <c r="GR1" i="8"/>
  <c r="GS1" i="8"/>
  <c r="GT1" i="8"/>
  <c r="GU1" i="8"/>
  <c r="GV1" i="8"/>
  <c r="GW1" i="8"/>
  <c r="GX1" i="8"/>
  <c r="GY1" i="8"/>
  <c r="GZ1" i="8"/>
  <c r="HA1" i="8"/>
  <c r="HB1" i="8"/>
  <c r="HC1" i="8"/>
  <c r="HD1" i="8"/>
  <c r="HE1" i="8"/>
  <c r="HF1" i="8"/>
  <c r="HG1" i="8"/>
  <c r="HH1" i="8"/>
  <c r="HI1" i="8"/>
  <c r="HJ1" i="8"/>
  <c r="HK1" i="8"/>
  <c r="HL1" i="8"/>
  <c r="HM1" i="8"/>
  <c r="HN1" i="8"/>
  <c r="HO1" i="8"/>
  <c r="HP1" i="8"/>
  <c r="HQ1" i="8"/>
  <c r="HR1" i="8"/>
  <c r="HS1" i="8"/>
  <c r="HT1" i="8"/>
  <c r="HU1" i="8"/>
  <c r="HV1" i="8"/>
  <c r="HW1" i="8"/>
  <c r="HX1" i="8"/>
  <c r="HY1" i="8"/>
  <c r="HZ1" i="8"/>
  <c r="IA1" i="8"/>
  <c r="IB1" i="8"/>
  <c r="IC1" i="8"/>
  <c r="ID1" i="8"/>
  <c r="IE1" i="8"/>
  <c r="IF1" i="8"/>
  <c r="IG1" i="8"/>
  <c r="IH1" i="8"/>
  <c r="II1" i="8"/>
  <c r="IJ1" i="8"/>
  <c r="IK1" i="8"/>
  <c r="IL1" i="8"/>
  <c r="IM1" i="8"/>
  <c r="IN1" i="8"/>
  <c r="IO1" i="8"/>
  <c r="IP1" i="8"/>
  <c r="IQ1" i="8"/>
  <c r="IR1" i="8"/>
  <c r="IS1" i="8"/>
  <c r="IT1" i="8"/>
  <c r="IU1" i="8"/>
  <c r="IV1" i="8"/>
</calcChain>
</file>

<file path=xl/comments1.xml><?xml version="1.0" encoding="utf-8"?>
<comments xmlns="http://schemas.openxmlformats.org/spreadsheetml/2006/main">
  <authors>
    <author>Eydís Líndal Finnbogadóttir</author>
  </authors>
  <commentList>
    <comment ref="C25" authorId="0">
      <text>
        <r>
          <rPr>
            <b/>
            <sz val="9"/>
            <color indexed="81"/>
            <rFont val="Tahoma"/>
            <family val="2"/>
          </rPr>
          <t>Eydís Líndal Finnbogadóttir:</t>
        </r>
        <r>
          <rPr>
            <sz val="9"/>
            <color indexed="81"/>
            <rFont val="Tahoma"/>
            <family val="2"/>
          </rPr>
          <t xml:space="preserve">
Heimilisföng í Þéttbýli? Hvað með dreifbýlið og IS 50V.</t>
        </r>
      </text>
    </comment>
  </commentList>
</comments>
</file>

<file path=xl/comments2.xml><?xml version="1.0" encoding="utf-8"?>
<comments xmlns="http://schemas.openxmlformats.org/spreadsheetml/2006/main">
  <authors>
    <author>Eydís Líndal Finnbogadóttir</author>
  </authors>
  <commentList>
    <comment ref="C25" authorId="0">
      <text>
        <r>
          <rPr>
            <b/>
            <sz val="9"/>
            <color indexed="81"/>
            <rFont val="Tahoma"/>
            <family val="2"/>
          </rPr>
          <t>Eydís Líndal Finnbogadóttir:</t>
        </r>
        <r>
          <rPr>
            <sz val="9"/>
            <color indexed="81"/>
            <rFont val="Tahoma"/>
            <family val="2"/>
          </rPr>
          <t xml:space="preserve">
Heimilisföng í Þéttbýli? Hvað með dreifbýlið og IS 50V.</t>
        </r>
      </text>
    </comment>
  </commentList>
</comments>
</file>

<file path=xl/sharedStrings.xml><?xml version="1.0" encoding="utf-8"?>
<sst xmlns="http://schemas.openxmlformats.org/spreadsheetml/2006/main" count="9137" uniqueCount="809">
  <si>
    <t>Lýsandi heiti gagnasetts</t>
  </si>
  <si>
    <t>INSPIRE gagnaflokkur</t>
  </si>
  <si>
    <t>Lýsigögn skráð</t>
  </si>
  <si>
    <t>Stofnunin safnaði gögnunum sjálf</t>
  </si>
  <si>
    <t>Stofnunin annast dreifingu</t>
  </si>
  <si>
    <t>Gögnin tengjast lögbundnu hlutverki</t>
  </si>
  <si>
    <t>Gögnin ná til alls landsins</t>
  </si>
  <si>
    <t>Form gagnanna</t>
  </si>
  <si>
    <t>Helstu eigindi</t>
  </si>
  <si>
    <t>Athugasemdir eða nánari lýsing</t>
  </si>
  <si>
    <t>Stofnun</t>
  </si>
  <si>
    <t>Jarðabótatúttektir 2007</t>
  </si>
  <si>
    <t>3.4 Landnotkun</t>
  </si>
  <si>
    <t xml:space="preserve"> Nei</t>
  </si>
  <si>
    <t>Já</t>
  </si>
  <si>
    <t>GIS</t>
  </si>
  <si>
    <t>Tegund ræktunar, landnúmer, flatarmál</t>
  </si>
  <si>
    <t>Um er að ræða skráningar á jarðabótaúttektum vegna greiðslu á styrkjum. Árið 2007 voru aðeins greiddir styrkir vegna kornræktar. Þó svo að merkt sé við að þekjan sé landsþekjandi þá er átt við að hún nær til alls landsins, en það eru ekki allar úttektir skráðar, enda þessi upplýsingasöfnun umfram lögboðna skyldu BÍ</t>
  </si>
  <si>
    <t>Jarðabótatúttektir 2008</t>
  </si>
  <si>
    <t>Um er að ræða skráningar á jarðabótaúttektum vegna greiðslu á styrkjum. Árið 2008 voru aðeins greiddir styrkir vegna korn, gras og grænfóðurræktar. Þó svo að merkt sé við að þekjan sé landsþekjandi þá er átt við að hún nær til alls landsins, en það eru ekki allar úttektir skráðar, enda þessi upplýsingasöfnun umfram lögboðna skyldu BÍ.</t>
  </si>
  <si>
    <t>Jarðabótatúttektir 2009</t>
  </si>
  <si>
    <t>Um er að ræða skráningar á jarðabótaúttektum vegna greiðslu á styrkjum. Árið 2009 voru aðeins greiddir styrkir vegna korn, gras og grænfóðurræktar. Þó svo að merkt sé við að þekjan sé landsþekjandi þá er átt við að hún nær til alls landsins, en það eru ekki allar úttektir skráðar, enda þessi upplýsingasöfnun umfram lögboðna skyldu BÍ.</t>
  </si>
  <si>
    <t>Jarðabótatúttektir 2010</t>
  </si>
  <si>
    <t>Um er að ræða skráningar á jarðabótaúttektum vegna greiðslu á styrkjum. Árið 2010 voru aðeins greiddir styrkir vegna korn, gras og grænfóðurræktar. Þó svo að merkt sé við að þekjan sé landsþekjandi þá er átt við að hún nær til alls landsins, en það eru ekki allar úttektir skráðar, enda þessi upplýsingasöfnun umfram lögboðna skyldu BÍ.</t>
  </si>
  <si>
    <t>Jarðabótaúttektir 2011</t>
  </si>
  <si>
    <t>Um er að ræða skráningar á jarðabótaúttektum vegna greiðslu á styrkjum. Árið 2011 voru aðeins greiddir styrkir vegna korn, gras og grænfóðurræktar. Þó svo að merkt sé við að þekjan sé landsþekjandi þá er átt við að hún nær til alls landsins, en það eru ekki allar úttektir skráðar, enda þessi upplýsingasöfnun umfram lögboðna skyldu BÍ.</t>
  </si>
  <si>
    <t>Upphreinsun skurða 2007-2010</t>
  </si>
  <si>
    <t>Upphreinsunarár, landnúmer, lengd</t>
  </si>
  <si>
    <t>Um er að ræða skráningar á jarðabótaúttektum vegna greiðslu á jarðabótastyrkjum. Styrkir fyrir það að hreinsa upp úr skurðum lögðust af árið 2011. Kortlagninging nær ekki endilega til allra skurða, enda var kortlagningin fyrst og fremst notuð til stuðnings við úttektir en var ekki lögboðin skylda.</t>
  </si>
  <si>
    <t>Túnkort</t>
  </si>
  <si>
    <t>Um er að ræða teiknuð túnkort að ósk viðkomandi bónda/landeiganda. Gögnin eru þ.a.l. í eigu þess bónda sem óskar eftir túnkorti, en BÍ geymir þau í einum miðlægum grunni og eru þau aðgengileg bændum í vefsjá (Jörð.is). Þar geta bændur ennfremur skráð ýmsar fleiri upplýsingar um viðkomandi tún, svo sem áburðargjöf og uppskeru.</t>
  </si>
  <si>
    <t>Bændasamtök Íslands</t>
  </si>
  <si>
    <t>Ferðamálastofa</t>
  </si>
  <si>
    <t>Gagangrunnur um ferðaþjónustuaðila</t>
  </si>
  <si>
    <t>1.5 Heimilisföng</t>
  </si>
  <si>
    <t>?</t>
  </si>
  <si>
    <t>Nafn ferðaþjónustuaðila á ísl. og ensku, heimilisfang, póstnúmer, sími, fax, netfang, vefur, opnunartími (allt árið / hluta úr ári). Síðan er mismunandi eftir þjónustuflokkum hvaða viðbótarupplýsingar eru skráðar. T.d. fyrir gistitaði eru skráðir, fjöldi herbergja o rúja og verðupplýsingar. Fyrir sundlaugar og söfn er skraður opnunartími, fyrir af.reyingu eru skráðr upplýsingar um ferðiro.s.frv.</t>
  </si>
  <si>
    <t>Einnig eru skráðar upplýsingar um áhugaverða staði og bæjarfélög og ég býst við að sá grunnur falli frekar undir skilgreininguna "Örnefni  - 1.3."</t>
  </si>
  <si>
    <t>Skyndilokanir</t>
  </si>
  <si>
    <t>3.11 Svæði sem lúta stjórnun/takmörkunum/reglugerðum og skýrslugjafareiningar</t>
  </si>
  <si>
    <t xml:space="preserve"> Annað</t>
  </si>
  <si>
    <t>Tímabil (1-2 vikur), Númerakerfi (endurnýtt árlega)</t>
  </si>
  <si>
    <t>Reglugerðir</t>
  </si>
  <si>
    <t>já</t>
  </si>
  <si>
    <t xml:space="preserve">Tímabil (upphafstími, yfirleitt ótímabundnar) , reglugerðarnúmer, </t>
  </si>
  <si>
    <t>Fiskeldisstöðvar</t>
  </si>
  <si>
    <t xml:space="preserve">Tímabundin rekstrarleyfi, </t>
  </si>
  <si>
    <t>Verndarsvæði Laxfiska ( Ósafriðun )</t>
  </si>
  <si>
    <t>Ótímabundin friðunarsvæði, stærð radíus eftri landsvæði.</t>
  </si>
  <si>
    <t>Ótímabundin afmörkuð friðunarsvæði.</t>
  </si>
  <si>
    <t>Afmörkuð veiðisvæði : dragnót Humar</t>
  </si>
  <si>
    <t>Afmörkuð veiðisvæði tímabundin, tímabil , stærð skipa.</t>
  </si>
  <si>
    <t>Friðun Hrygningarsvæða</t>
  </si>
  <si>
    <t>Timabundin friðun vegna hrygninga botnfiska.</t>
  </si>
  <si>
    <t>Veiðisvæði Grásleppu</t>
  </si>
  <si>
    <t>Landhelgislög</t>
  </si>
  <si>
    <t>1.1 Viðmiðunarhnitakerfi</t>
  </si>
  <si>
    <t>Lög um takmarkanir fiskveiða innan efnahagslögsögu.</t>
  </si>
  <si>
    <t>Fiskistofa</t>
  </si>
  <si>
    <t>Friðlýstar fornleifar</t>
  </si>
  <si>
    <t>1.9 Verndarsvæði</t>
  </si>
  <si>
    <t>Dagsetning friðlýsingar, dagsetning þinglýsingar, hver undirritaði friðlýsingarskjalið, texti friðlýsingarskjals, hvað er friðlýst, staða úttektar, jörð, sveitarfélag, athugasemdir</t>
  </si>
  <si>
    <t>shapefiles + excel. Verður bráðlega fært yfir á PostgreSQL</t>
  </si>
  <si>
    <t>Fornleifarannsóknir</t>
  </si>
  <si>
    <t>Rannsakandi, hvenær rannsakað, hvað rannsakað, skil á gripum, skil á gögnum</t>
  </si>
  <si>
    <t>PostgreSQL.</t>
  </si>
  <si>
    <t>Fornleifaskráning</t>
  </si>
  <si>
    <t>Hvaða svæði nær skráningin yfir, hver skráði, hvenær skráð, skráningarstaðlar, nákvæmni staðsetningar. Skráningarnúmer minja, númer minja í skýrslu, tegund, hlutverk, ástand, hættumat, lýsing.</t>
  </si>
  <si>
    <t>Unnið í kortasjá með PostgreSQL í grunninn sem hönnuð var og er vistuð hjá Loftmyndum ehf. Sjálfstæðir aðilar hafa farið á vettvang og skráð minjarnar en með nýjum lögum sem taka gildi 1. janúar 2013 munu allir skrásetjarar þurfa að setja gögnin inn hjá Minjastofnun Íslands (Fornleifavernd ríkisins og Húsafriðunarnefnd ríkisins). Fornleifavernd hefur verið að fara yfir skráningarskýrslur og sett inn afmörkun á skráningarsvæðum sem fyrsta skref. Þannig að það er spurning hvernig skilgreina eigi söfnun gagna og dreifingu.</t>
  </si>
  <si>
    <t>Fornleifavernd ríkisins</t>
  </si>
  <si>
    <t>Forsætisráðuneyti, þjóðlendur</t>
  </si>
  <si>
    <t>Þjóðlendulínur</t>
  </si>
  <si>
    <t>1.6 Landareignir og lóðir</t>
  </si>
  <si>
    <t>Stofnunin aflaði ekki gagnanna sjálf. Gögnin verða til í þjóðlendumálum sem  rekin eru fyrir óbyggðanefnd og dómstólum. Þjóðlendumálin eru enn í gangi og því nær gagnasettið ekki yfir allt landið. Þjóðlendur falla undir flokka 1.6 og 3.11 í viðaukum. Þetta eru landsvæði sem skráð verða í fasteignamat en eru háð stjórnunarlegum takmörkunum.</t>
  </si>
  <si>
    <t>Afladagbækur</t>
  </si>
  <si>
    <t>3.19 Útbreiðsla tegunda</t>
  </si>
  <si>
    <t>Afli í veiðiatrennu/togi flest allra fiskiskipa á Íslandsmiðum</t>
  </si>
  <si>
    <t>Oracle-skema</t>
  </si>
  <si>
    <t>Áta</t>
  </si>
  <si>
    <t>Átugögn</t>
  </si>
  <si>
    <t>Bergmálsgögn</t>
  </si>
  <si>
    <t>Endurvarp á nokkrum tíðnum, aðallega í uppsjávarfiskaleiðöngrum</t>
  </si>
  <si>
    <t>Hrágögn og Ingres-töflur</t>
  </si>
  <si>
    <t>Botndýragagnasafn</t>
  </si>
  <si>
    <t>Greiningar botndýra í ýmsum verkefnum</t>
  </si>
  <si>
    <t>Botnþörungar</t>
  </si>
  <si>
    <t>Botnþörungagögn</t>
  </si>
  <si>
    <t>Erfðafræði</t>
  </si>
  <si>
    <t>3.18 Búsvæði og lífvist</t>
  </si>
  <si>
    <t>Erfðafræðigögn</t>
  </si>
  <si>
    <t>Fæða</t>
  </si>
  <si>
    <t>Fæðugagnasafn</t>
  </si>
  <si>
    <t>Fiskar</t>
  </si>
  <si>
    <t>Líffræðiupplýsingar um fiska og önnur sjávardýr, úr leiðöngrum og sýnatöku úr afla</t>
  </si>
  <si>
    <t>Fiskmerki</t>
  </si>
  <si>
    <t xml:space="preserve">Sleppi- og heimtustaður í fiskmerkingum </t>
  </si>
  <si>
    <t>Fjölgeislamælingar</t>
  </si>
  <si>
    <t>2.4 Jarðfræði</t>
  </si>
  <si>
    <t>Kortlagning hafsbotns</t>
  </si>
  <si>
    <t>Hrágögn</t>
  </si>
  <si>
    <t>Fuglar</t>
  </si>
  <si>
    <t>Sjófuglagögn</t>
  </si>
  <si>
    <t>Hvalir</t>
  </si>
  <si>
    <t>Gögn sem snúa að hvölum</t>
  </si>
  <si>
    <t>Hýdró</t>
  </si>
  <si>
    <t>3.15 Haffræðilegar landfræðifitjur</t>
  </si>
  <si>
    <t>Haffræðigögn, hiti, selta, efnafræði, straummælingar, veður</t>
  </si>
  <si>
    <t>Phyto</t>
  </si>
  <si>
    <t>Plöntusvif</t>
  </si>
  <si>
    <t>Selir</t>
  </si>
  <si>
    <t>Selagögn</t>
  </si>
  <si>
    <t>Skráning á skyndilokunum veiðisvæða</t>
  </si>
  <si>
    <t>Svifþörungar</t>
  </si>
  <si>
    <t>Örnefni - Fiskimið</t>
  </si>
  <si>
    <t>1.3 Örnefni</t>
  </si>
  <si>
    <t>Fiskimið</t>
  </si>
  <si>
    <t>Oracle tafla, fiskimið, sker og boðar, í breidd/lengd eða tilkynningaskyldureitakerfi</t>
  </si>
  <si>
    <t>Hafrannsóknastofnun</t>
  </si>
  <si>
    <t>Afladagbækur erlendra fiskiskipa á Íslandsmiðum og úr flökkustofnum sem Hafró kemur að úttekt á</t>
  </si>
  <si>
    <t>Eftirlitsgögn um meðafla við ýmsar veiðar, þ.e. bætt aðgengi að gögnum hjá Fiskistofu</t>
  </si>
  <si>
    <t>Sjónflugskort</t>
  </si>
  <si>
    <t>1.7 Flutninganet</t>
  </si>
  <si>
    <t>Flutninganet/flugleiðsaga og flugvellir</t>
  </si>
  <si>
    <t>Safn flugleiðsögukorta fyrir AIP</t>
  </si>
  <si>
    <t>Staðsetningasafn flugvalla og flugleiðsögutækja</t>
  </si>
  <si>
    <t xml:space="preserve"> Excel</t>
  </si>
  <si>
    <t>ISAVIA</t>
  </si>
  <si>
    <t>Upplýsingar um legu þjóðvega.</t>
  </si>
  <si>
    <t>Jarðvegsrof</t>
  </si>
  <si>
    <t>3.3 Jarðvegur</t>
  </si>
  <si>
    <t>Rofmynd, rofeinkunn</t>
  </si>
  <si>
    <t>Jarðvegur</t>
  </si>
  <si>
    <t>Jarðvegsgerð, nokkrir flokkar</t>
  </si>
  <si>
    <t>Yfirborðsgerð (Nytjaland)</t>
  </si>
  <si>
    <t>2.2 Landgerðir</t>
  </si>
  <si>
    <t>Gróðurfar, nokkrir flokkar</t>
  </si>
  <si>
    <t>Landnýting</t>
  </si>
  <si>
    <t>Landnýtingarflokkar samkvæmt forskrift loftlagssátmála SÞ. Flokkun með tilliti til kolefnisbúskapar</t>
  </si>
  <si>
    <t>Jarðvegsgreiningar (Ýmir)</t>
  </si>
  <si>
    <t>Efnainnihald og eðliseiginleikar jarðvegs</t>
  </si>
  <si>
    <t>Ræktað land</t>
  </si>
  <si>
    <t>Skurðakort</t>
  </si>
  <si>
    <t>Landbúnaðarháskólinn</t>
  </si>
  <si>
    <t>Landgræðslusvæði</t>
  </si>
  <si>
    <t>Heiti, stærð, upphafsár, staða, aðkoma Landgræðslunnar</t>
  </si>
  <si>
    <t>Lýsigögn skráð en ekki komin inn í Landupplýsingagáttina hjá LMÍ</t>
  </si>
  <si>
    <t>Landgræðslugirðingar</t>
  </si>
  <si>
    <t>Heiti, lengd, upphafsár, staða, samstarfsaðilar, samningar</t>
  </si>
  <si>
    <t>Gagnaþekja í vinnslu</t>
  </si>
  <si>
    <t>Varnir gegn landbroti</t>
  </si>
  <si>
    <t>3.12 Náttúruleg áhættusvæði</t>
  </si>
  <si>
    <t>Vatnsfall, upphafsár, tegund mannvirkis, staða, samstarf, eignarhald</t>
  </si>
  <si>
    <t>Unnið er að skráningu lýsigagna en þau ekki komin inn í Landupplýsingagáttina hjá LMÍ</t>
  </si>
  <si>
    <t>Landgræðsluaðgerðir</t>
  </si>
  <si>
    <t>Svæði, aðgerðir, efni, magn, stærðir, samstarfsaðilar, verkefni</t>
  </si>
  <si>
    <t>Unnið er að skráningu lýsigagna en þau ekki komin inn í Landupplýsingagáttina hjá LMÍ</t>
  </si>
  <si>
    <t>Jarðvegsrof á Íslandi</t>
  </si>
  <si>
    <t>Já, að hluta</t>
  </si>
  <si>
    <t>Rofgerðir og flokkun á hversu mikið jarðvegsrofið er</t>
  </si>
  <si>
    <t>Unnið í samstarfi við RALA nú LbhÍ en LbhÍ hefur þó séð meira um dreifingu en Lr.</t>
  </si>
  <si>
    <t>Kortlagning Landgræðslunnar</t>
  </si>
  <si>
    <t xml:space="preserve">Já </t>
  </si>
  <si>
    <t>Jarðvegrof, gróðurfar, gróðurþekja, grjót og sandur á yfirborði</t>
  </si>
  <si>
    <t>Mælingar á kolefnisbindingu</t>
  </si>
  <si>
    <t>3.7 Umhverfisvöktunaraðstaða</t>
  </si>
  <si>
    <t>Staðsetning rannsóknapunkta, yfirborð og gróðurþekja, gróðursamsetning, kolefni og nitur í jarðvegi.</t>
  </si>
  <si>
    <t>Akrar og spildur í Gunnarsholti</t>
  </si>
  <si>
    <t>Ekki til dreifingar</t>
  </si>
  <si>
    <t>Heiti, stærðir, notkun, samningar</t>
  </si>
  <si>
    <t>Ekki til dreifingar - gagnasett til innanhúss nota</t>
  </si>
  <si>
    <t>Landamerki eignarlanda Landgræðslunnar</t>
  </si>
  <si>
    <t>Heiti jarðar, landnúmer, tegund landamerkis, þinglýsingar</t>
  </si>
  <si>
    <t>Landgræðsla ríkisins</t>
  </si>
  <si>
    <t>Gróðurkort</t>
  </si>
  <si>
    <t>Veðurfarsgögn</t>
  </si>
  <si>
    <t>Dýptarmælingar vegna sjókortagerðar</t>
  </si>
  <si>
    <t>2.1 Hæð</t>
  </si>
  <si>
    <t xml:space="preserve"> Nei - frumgögn sem er almennt sagt ekki dreift</t>
  </si>
  <si>
    <t>Staðsetning og dýpi</t>
  </si>
  <si>
    <t xml:space="preserve">Gögnin eru safn hnitaskráa sem eru afurði skipulegra dýptarmælinga í þeim tilgangi að kortleggja hafsbotninn kringum landið. </t>
  </si>
  <si>
    <t>Dýpislínur úr sjókortum</t>
  </si>
  <si>
    <t>Jafndýpislínur með dýpisgildi</t>
  </si>
  <si>
    <t>Stök kort eða samsett í stærri heild á shape formi</t>
  </si>
  <si>
    <t>Vitar og sjómerki</t>
  </si>
  <si>
    <t>Staðsetning og ljóseinkenni</t>
  </si>
  <si>
    <t>Gögnin eru í Access töflum - tengist útgáfu Vitaskrár og sjókorta.</t>
  </si>
  <si>
    <t>Landhelgisgæsla Íslands</t>
  </si>
  <si>
    <t>3.2 Byggingar</t>
  </si>
  <si>
    <t>Heilbrigðisumdæmi á Íslandi</t>
  </si>
  <si>
    <t>1.4 Stjórnsýslueiningar</t>
  </si>
  <si>
    <t>Ekki sérstaklega skráð eigindi í bili.</t>
  </si>
  <si>
    <t>Gögin eru unnin í GIS en þeim hefur einungis verið dreift sem PDF skjal.</t>
  </si>
  <si>
    <t>Sóttvarnaumdæmi á Íslandi</t>
  </si>
  <si>
    <t>Hjúkrunarrými (staðsetning stofnana)</t>
  </si>
  <si>
    <t>Gögin eru unnin í GIS en þeim hefur einungis verið dreift sem PDF skjal. Ekki nákvæm staðsetning, aðeins staðsetning bæjar sem stofnunin er staðsett.</t>
  </si>
  <si>
    <t>Sjúkrahúsaþjónusta (staðsetning stofnana)</t>
  </si>
  <si>
    <t>Heilsugæslustöðvar (staðsetning stofnana)</t>
  </si>
  <si>
    <t>Landlæknisembættið</t>
  </si>
  <si>
    <t>IS 50V Samgöngur</t>
  </si>
  <si>
    <t>Fitjueigindi skv. ÍST 120</t>
  </si>
  <si>
    <t>Gögnum einnig safnað af Vegagerðinni og Samsýn.</t>
  </si>
  <si>
    <t>IS 50V Yfirborð</t>
  </si>
  <si>
    <t>Unnið úr CORINE gagnasettinu</t>
  </si>
  <si>
    <t>IS 50V Hæðargögn</t>
  </si>
  <si>
    <t>Gögnum safnað af ýmsum aðilum en útbúin af LMÍ</t>
  </si>
  <si>
    <t>IS 50V Vatnafar</t>
  </si>
  <si>
    <t>1.8 Vatnafar</t>
  </si>
  <si>
    <t>IS 50V Mörk</t>
  </si>
  <si>
    <t>IS 50V Strandlína</t>
  </si>
  <si>
    <t>IS 50V Örnefni</t>
  </si>
  <si>
    <t>IS 50V Mannvirki</t>
  </si>
  <si>
    <t>Reitakerfi Íslands</t>
  </si>
  <si>
    <t>1.2 Landfræðileg reitakerfi</t>
  </si>
  <si>
    <t>Nafn og land</t>
  </si>
  <si>
    <t>IS 500V Mannvirki</t>
  </si>
  <si>
    <t>IS 500V Samgöngur</t>
  </si>
  <si>
    <t>IS 500V Hæðarlínur</t>
  </si>
  <si>
    <t>IS 500V Vatnafar</t>
  </si>
  <si>
    <t>IS 500V Mörk</t>
  </si>
  <si>
    <t>IS 500V Strandlína</t>
  </si>
  <si>
    <t>IS X Skurðir</t>
  </si>
  <si>
    <t>Gögn komu einnig frá Landbúnaðarháskólanum</t>
  </si>
  <si>
    <t>IS X Friðlýst svæði</t>
  </si>
  <si>
    <t>IS X Skógar</t>
  </si>
  <si>
    <t>IS X Nafnaleit</t>
  </si>
  <si>
    <t>Nafn, póstnafn, póstnúmer</t>
  </si>
  <si>
    <t>IS X Staðföng í þéttbýli</t>
  </si>
  <si>
    <t>Að hluta til skv. ÍST 120, t.d dagsetningar og fleiri lýsigagnaeigindi.</t>
  </si>
  <si>
    <t>Frá Þjóðskrá</t>
  </si>
  <si>
    <t>IS 50V Vefútgáfa samgöngur línur</t>
  </si>
  <si>
    <t>Einfölduð ásýnd af IS 50V Samgöngur línur.</t>
  </si>
  <si>
    <t>Euro Boundary Map</t>
  </si>
  <si>
    <t>Eigindirnar eru skráðar skv. staðli sem Eurogeoraphics lagði fram fyrir verkefnið (NIMA, DIGEST).</t>
  </si>
  <si>
    <t>Lýsigögn voru skráð í word og excel skjöl samkvæmt kröfur sem settar voru saman hjá Eurogoegraphics.</t>
  </si>
  <si>
    <t>Euro Regional Map</t>
  </si>
  <si>
    <t>ERM er ekki ósvipað í uppbyggingu og IS 50V í heild sinni (mörg lög og mörg þemu). Því er ekki hægt að flokka gagnasafnið undir einn INSPIRE gagnaflokk. Gögnin koma a lang mestu leiti frá LMÍ, mögulegt að smávægilegur hluti sé frá samstarfsaðilum. Lýsigögn voru skráð í word og excel skjöl samkvæmt kröfur sem settar voru saman hjá Eurogoegraphics.</t>
  </si>
  <si>
    <t>Euro Global Map</t>
  </si>
  <si>
    <t>Gögnin koma a lang mestu leiti frá LMÍ, mögulegt að smávægilegur hluti sé frá samstarfsaðilum. Lýsigögn voru skráð í word og excel skjöl samkvæmt kröfur sem settar voru saman hjá Eurogoegraphics.</t>
  </si>
  <si>
    <t>Euro DEM</t>
  </si>
  <si>
    <t>CORINE</t>
  </si>
  <si>
    <t>Id, code_yy, area_ha</t>
  </si>
  <si>
    <t>LMÍ safnaði gögnunum frá ýmsum fagstofnunum. en safnaði gögnum einnig sjálf að hluta til. Ekki eru til lýsigögn um gagnasafnið. Hins vegar voru skráðar skýrslur á ensku og íslensku sem eru geymdar í skjalasafni LMÍ.</t>
  </si>
  <si>
    <t>Ýmsar gervitunglamyndir</t>
  </si>
  <si>
    <t>2.3 Uppréttar fjarkönnunarmyndir</t>
  </si>
  <si>
    <t>Myndirnar eru í mismunandi upplausn frá 0,5 - 90 m/myndpunkt. Eitthvað er til af skýrslum um kaup á gervitunglamyndunum og lýsigögn skráð í Access gagnagrunn. Myndirnar voru keyptar í samstarfi við aðrar ríkisstofnanir og hefur verið dreyft til þeirra en má ekki dreifa til annara.</t>
  </si>
  <si>
    <t>Spot5 mósaík</t>
  </si>
  <si>
    <t>Ekki eru til lýsigögn um mósaíkið. Hins vegar voru skráðar skýrslur sem eru geymdar í skjalasafni LMÍ. Mósaíkið var framleitt af GAF eftir Spot5 myndum voru keyptar frá Spot Image.</t>
  </si>
  <si>
    <t>Ýmis mörk</t>
  </si>
  <si>
    <t>Gagnasöfn fyrir ýmis mörk, s.s.gömul kjördæmaskipting, gamlar sýslur, íþróttahéruð. Mörk sem ekki hafa stjórnsýslulegt hlutverk í dag. Örstutt lýsing fylgir hverju gagnasetti.</t>
  </si>
  <si>
    <t>Hæðarkerfi Íslands</t>
  </si>
  <si>
    <t>Til eru skýrslur og lýsing á punktum en ekki lýsigögn.</t>
  </si>
  <si>
    <t>Hæðarlíkan af Breiðafirði</t>
  </si>
  <si>
    <t>Myndkort af Breiðafirði</t>
  </si>
  <si>
    <t>Nei</t>
  </si>
  <si>
    <t>Raster</t>
  </si>
  <si>
    <t>Hæðarlíkan af Markarfljóti</t>
  </si>
  <si>
    <t>Annað</t>
  </si>
  <si>
    <t>Hæðarlíkan af Eyjafjallajökli</t>
  </si>
  <si>
    <t>Loftmyndir af Markarfljóti</t>
  </si>
  <si>
    <t>Myndkort af Mýrum</t>
  </si>
  <si>
    <t>Myndkort af Ölfusi</t>
  </si>
  <si>
    <t>Myndkort af Langasjó</t>
  </si>
  <si>
    <t>Ýmis hæðargögn</t>
  </si>
  <si>
    <t>Lýsigögn eru skráð að hluta til.</t>
  </si>
  <si>
    <t>Loftmyndasafn LMÍ</t>
  </si>
  <si>
    <t>Um er að ræða allt loftmyndasafn LMÍ.</t>
  </si>
  <si>
    <t xml:space="preserve"> </t>
  </si>
  <si>
    <t>Landmælingar Íslands</t>
  </si>
  <si>
    <t>Tengvirki</t>
  </si>
  <si>
    <t>3.6 Veitur og þjónusta á vegum stjórnvalda</t>
  </si>
  <si>
    <t>Fjöldi útganga, spennar, byggingarár</t>
  </si>
  <si>
    <t>Háspennulínur, loftlínur</t>
  </si>
  <si>
    <t>Spenna, leiðari, ár tekið í notkun, fjöldi þátta í leiðara</t>
  </si>
  <si>
    <t>Háspennulínur, jarðstrengir og sæstrengir</t>
  </si>
  <si>
    <t>Möstur háspennulína</t>
  </si>
  <si>
    <t>Tegund masturs, hæð, byggt fyrir spennu, bygginarár</t>
  </si>
  <si>
    <t>Línuslóðar</t>
  </si>
  <si>
    <t>Engin eigindi</t>
  </si>
  <si>
    <t>Landsnet</t>
  </si>
  <si>
    <t>lóðaþekju</t>
  </si>
  <si>
    <t>Mannvirkjastofnun</t>
  </si>
  <si>
    <t>Matvælastofnun</t>
  </si>
  <si>
    <t>Búfé</t>
  </si>
  <si>
    <t>Nautgripir, Hross, Sauðfé, Geitur, Svín, Alifuglar og Loðdýr</t>
  </si>
  <si>
    <t>Búið að hnitsetja þá staði sem halda búfé. Staðirnir eru tengdir landnúmeri, ef ekki þá sveitarfélagi, heiti og póstnúmeri. Restin var hnitsett handvirkt.</t>
  </si>
  <si>
    <t>Uppskera</t>
  </si>
  <si>
    <t>Þurrhey, Vothey</t>
  </si>
  <si>
    <t>Fiskvinnslufyrirtæki</t>
  </si>
  <si>
    <t>Rekstraraðili, Tengiliður, Heimilisfang</t>
  </si>
  <si>
    <t>Áburðarfyrirtæki</t>
  </si>
  <si>
    <t>Sláturhús</t>
  </si>
  <si>
    <t>Fóðurfyrirtæki</t>
  </si>
  <si>
    <t>Sauðfjárveikivarnarhólf</t>
  </si>
  <si>
    <t>Varnarhólf og landfræðileg skipting þeirra</t>
  </si>
  <si>
    <t>Umdæmi héraðsdýralækna</t>
  </si>
  <si>
    <t>Umdæmi héraðsdýralækna og landfræðileg skipting þeirra</t>
  </si>
  <si>
    <t>Vaktsvæði dýralækna</t>
  </si>
  <si>
    <t>Vaktsvæði dýralækna og landfræðileg skipting þeirra</t>
  </si>
  <si>
    <t>Jarðfræðikort af Íslandi, Berggrunnur</t>
  </si>
  <si>
    <t>FLOKKUR (fláki, lína, punktur); flokkun jarðmyndana</t>
  </si>
  <si>
    <t>Yfirlitskort 1:600.000</t>
  </si>
  <si>
    <t>Jarðfræðikort af Íslandi, Höggun</t>
  </si>
  <si>
    <t>Jarðfræðikort af Íslandi, Jarðhiti</t>
  </si>
  <si>
    <t>já +</t>
  </si>
  <si>
    <t>Yfirlitskort 1:500.000, unnið í samstarfi við Orkustofnun</t>
  </si>
  <si>
    <t>Jarðfræðikort, blað 1-9</t>
  </si>
  <si>
    <t>nei</t>
  </si>
  <si>
    <t>samkv. ÍST120 staðli, fitjuflokkur 600</t>
  </si>
  <si>
    <t>Eldri gögn hnituð. Vantar blað 4 og 8 í séríuna. Mælikvarði 1:250.000</t>
  </si>
  <si>
    <t>Berg og steindir (sýni)</t>
  </si>
  <si>
    <t>Steingervingar (sýni)</t>
  </si>
  <si>
    <t>Afmörkuð jarðfræðikort</t>
  </si>
  <si>
    <t>afmörkuð rannsóknarsvæði og jarðfræðikortlagning</t>
  </si>
  <si>
    <t>Skriður, ofanföll</t>
  </si>
  <si>
    <t xml:space="preserve">já + </t>
  </si>
  <si>
    <t>Unnið í samstarfi við Veðurstofu</t>
  </si>
  <si>
    <t>Laus jarðlög - jarðgrunnur</t>
  </si>
  <si>
    <t>Unnið í samstarfi við HÍ</t>
  </si>
  <si>
    <t>Gróðurkort af Íslandi</t>
  </si>
  <si>
    <t>Gr_felag; flokkun gróðurfélaga</t>
  </si>
  <si>
    <t>Yfirlitskort 1:500.000</t>
  </si>
  <si>
    <t>GR_felag, grodurlend; flokkun gróðurs</t>
  </si>
  <si>
    <t>í vinnslu fyrir allt landið, 1:50.000</t>
  </si>
  <si>
    <t>Afmörkuð gróðurkort</t>
  </si>
  <si>
    <t>ráðgjafaverkefni, umhverfismat</t>
  </si>
  <si>
    <t>Gróður við landnám</t>
  </si>
  <si>
    <t>Tilgátukort um gróðurfar við landnám</t>
  </si>
  <si>
    <t>Ágengar tegundir</t>
  </si>
  <si>
    <t>3.17 Líflandfræðileg svæði</t>
  </si>
  <si>
    <t>lúpína, skógarkerfill, spánarsnigill o.fl.</t>
  </si>
  <si>
    <t>Vöktun jarðríkis</t>
  </si>
  <si>
    <t>steindir, jarðhiti, rof, ofl.</t>
  </si>
  <si>
    <t>Vöktun lífríkis</t>
  </si>
  <si>
    <t>gróðurþekja, landnám dýra, fjöldi tegunda, útbreiðsla ofl.</t>
  </si>
  <si>
    <t>Vistgerðakort</t>
  </si>
  <si>
    <t>í vinnslu, reitaskipt, 1:50.000. Eiga að ná yfir allt landið í framtíðinni</t>
  </si>
  <si>
    <t>Verndargildi</t>
  </si>
  <si>
    <t>GERD</t>
  </si>
  <si>
    <t>Verndargildi svæða byggt á gögnum NÍ</t>
  </si>
  <si>
    <t>NÍ reitaskipting 10x10 km</t>
  </si>
  <si>
    <t>REITANR (fláki, punktur)</t>
  </si>
  <si>
    <t>reitakerfi útbúið á NÍ í kringum 1970</t>
  </si>
  <si>
    <t>Surtsey - jarðfræði</t>
  </si>
  <si>
    <t>vöktun á myndu móbergs, steindum, jarðhita og rofi</t>
  </si>
  <si>
    <t>Surtsey - lífríki</t>
  </si>
  <si>
    <t>vöktun á landnámi lífríkis og þróun þess</t>
  </si>
  <si>
    <t>Surtsey - grunnkort</t>
  </si>
  <si>
    <t>hæðalínur, strönd, mannvirki</t>
  </si>
  <si>
    <t>Surtsey - reitaskipting</t>
  </si>
  <si>
    <t>NR</t>
  </si>
  <si>
    <t>sjálfstætt reitakerfi fyrir rannsóknir í Surtsey</t>
  </si>
  <si>
    <t>Surtsey - heimsminjasvæði</t>
  </si>
  <si>
    <t>mörk verndarsvæðis, unnið á NÍ ásamt fleirum stofnunum</t>
  </si>
  <si>
    <t>Lífríki - útbreiðsla tegunda</t>
  </si>
  <si>
    <t>útbreiðsla dýra og plantna á landi og í sjó</t>
  </si>
  <si>
    <t>Náttúrufræðistofnun</t>
  </si>
  <si>
    <t>Samræma þarf grunnkort LMÍ og Loftmynda ehf. Ekki er hægt að nota saman grunngöng frá þessum aðilum þar sem uppfærsla gagna passar oft ekki saman.</t>
  </si>
  <si>
    <t>Orkustofnun</t>
  </si>
  <si>
    <t>Reitir á Drekasvæði</t>
  </si>
  <si>
    <t xml:space="preserve">Gráðureitir, reitir, JM samkomulagssvæði </t>
  </si>
  <si>
    <t>Nær frá NA-strönd Íslands út yfir Drekasvæðið og svæðið kringum Jan Mayen. Birt í Landgrunnsvefsjá</t>
  </si>
  <si>
    <t>Örnefni á Drekasvæði</t>
  </si>
  <si>
    <t>Eldri örnefni, nýyrði</t>
  </si>
  <si>
    <t>Nær til alls landgrunnsins, flest nöfn tengjast Drekasvæði. Engin nöfn á landi. Birt í Landgrunnsvefsjá</t>
  </si>
  <si>
    <t>Grunnvatnshlot</t>
  </si>
  <si>
    <t>Ýmsir rennslisflokkar, jöklar</t>
  </si>
  <si>
    <t>Í vinnslu hjá OS. Nær yfir allt Ísland. Tengist vinnu við Vatnatilskipun (WISE)</t>
  </si>
  <si>
    <t>Borstaðir</t>
  </si>
  <si>
    <t>Borholur eru mannvirki. Þar sem lýst er öllum gerðum af borholum var talið að flokkur III-2 gæti helst rúmað þetta efnissvið. Sértækari upplýsingar um ákveðnar gerðir af borholum eru í: Vatnsból og Jarðhiti - Nýtingarholur. Birt á vefsíðu OS og í sérstakri vinnsluútgáfu af Orkuvefsjá (önnur vefslóð)</t>
  </si>
  <si>
    <t>Jarðhiti - Sundlaugar</t>
  </si>
  <si>
    <t>Birt í Orkuvefsjá. Nær til starfandi sundlauga á landinu öllu</t>
  </si>
  <si>
    <t>Vatnsból</t>
  </si>
  <si>
    <t>3.8 Framleiðslu- og iðnaðaraðstaða</t>
  </si>
  <si>
    <t>Borholur, lindir, brunnar</t>
  </si>
  <si>
    <t>Í vinnslu hjá OS í samstarfi við VÍ, tengist m.a. Vatnatilskipun (WISE)</t>
  </si>
  <si>
    <t>Raforkuver</t>
  </si>
  <si>
    <t>Birt í Orkuvefsjá</t>
  </si>
  <si>
    <t>Varaafl</t>
  </si>
  <si>
    <t>Var birt í Gagnavefsjá, þarfnast uppfærslu vegna birtingar í Orkuvefsjá</t>
  </si>
  <si>
    <t>Smávirkjanir</t>
  </si>
  <si>
    <t>Jarðhitastaðir</t>
  </si>
  <si>
    <t>Gagnasett í vinnslu. Áhersla á mögulega nýtingarstaði jarðhita</t>
  </si>
  <si>
    <t>Jarðhiti - Nýtingarholur</t>
  </si>
  <si>
    <t>Gagnasett í vinnslu. Nýtingarholur jarðhita, veituflokkar og tengsl við hitaveitur koma fram. Bryggir í grunninn á gagnasetti um borstaði, en viðbótarupplýsingar eru um efnisþætti tengda nýtingu jarðhita s.s. vinnslumagn o.þ.h.</t>
  </si>
  <si>
    <t>Jarðhiti - Framleiðsla</t>
  </si>
  <si>
    <t>Birt í Orkuvefsjá. Hluti upplýsinganna í gagnasettinu fellur undir INSPIRE viðauka III-9</t>
  </si>
  <si>
    <t>3.9 Aðstaða fyrir landbúnað og lagareldi</t>
  </si>
  <si>
    <t>Birt í Orkuvefsjá. Hluti upplýsinganna í gagnasettinu fellur undir INSPIRE viðauka III-8</t>
  </si>
  <si>
    <t>Vatnsverndarsvæði</t>
  </si>
  <si>
    <t>Brunnsvæði, grannsvæði, fjarsvæði</t>
  </si>
  <si>
    <t>Í vinnslu hjá OS í samstarfi við Skipulagsstofnun, UST og VÍ, tengist m.a. Vatnatilskipun (WISE)</t>
  </si>
  <si>
    <t>Efnistökuleyfi á hafsbotni</t>
  </si>
  <si>
    <t>Rannsóknaleyfi, efnistökuleyfi</t>
  </si>
  <si>
    <t>Sýnir leyfisveitingasvæði skv. leyfum OS frá 2008. Eingöngu svæði á hafsbotni vestanlands og norðanlands. Bíður birtingar í Orkuvefsjá</t>
  </si>
  <si>
    <t>Tíðniskrá</t>
  </si>
  <si>
    <t>Sendaskrá</t>
  </si>
  <si>
    <t>Excel</t>
  </si>
  <si>
    <t>Sendaskrá tengist tíðniskránni þannig að sendar eru hnitsettir</t>
  </si>
  <si>
    <t>Póst- og fjarskiptastofnun</t>
  </si>
  <si>
    <t>RARIK</t>
  </si>
  <si>
    <t>Lega rafdreifikerfa (strengir, línur, skápar, dreifistöðvar, heimtaugar, jarðskaut, aðveitustöðvar ofl.)</t>
  </si>
  <si>
    <t>Virkjanir og virkjanasvæði (vatn, gufa, vindur, sjávarföll)</t>
  </si>
  <si>
    <t>3.20 Orkuauðlindir</t>
  </si>
  <si>
    <t xml:space="preserve"> CAD</t>
  </si>
  <si>
    <t>Hitaveitur.  Vinnslusvæði og borholur.</t>
  </si>
  <si>
    <t>Hitaveitulagnir.</t>
  </si>
  <si>
    <t xml:space="preserve">GPS landmælingarpunktar </t>
  </si>
  <si>
    <t>Númer, nafn, staðsetning</t>
  </si>
  <si>
    <t>Staðsetning og lýsing á gps mælipunktum, aðgengilegt á vefsíðu stofnunarinnar</t>
  </si>
  <si>
    <t>Sýnatökustaðir: Berg, Aska, Vatn</t>
  </si>
  <si>
    <t>Útlínur hrauna, hnitað af loftmyndum og kortum</t>
  </si>
  <si>
    <t>Gögnum dreift á vefsíðu stofnunar, Surfer - ascii skrár, Surfer -DEM grid, Txt skrár</t>
  </si>
  <si>
    <t>Jarðeðlisfræðileg gögn</t>
  </si>
  <si>
    <t xml:space="preserve">Breytingar jökuls og lands vegna eldsumbrota </t>
  </si>
  <si>
    <t xml:space="preserve">Surfer - ascii skrár_x000D_
Surfer - DEM grid_x000D_
</t>
  </si>
  <si>
    <t>Lögun jökulyfirborðs og jökulbotns,_x000D_
skriðhraði og afkoma jökla</t>
  </si>
  <si>
    <t>DEM (SURFER6 binary Grid)textaskrár (ASCII)</t>
  </si>
  <si>
    <t>Mælingar á veðurþáttum á jökli (úr sjálfvirkum veðurstöðvum)</t>
  </si>
  <si>
    <t>3.14 Veðurfræðilegar landfræðifitjur</t>
  </si>
  <si>
    <t>Mæliröð um vatnshæð jökullón t.d. Grímsvötn og Skaftárkatlalega og lögun: t.d. jökulstífluð lón, jaðarlón.</t>
  </si>
  <si>
    <t>Hæðarkort af jöklum, yfirborðshraði jökla, orkubúskapur jökla</t>
  </si>
  <si>
    <t>GRD (Surfer binary grid), IMG (Erdas raster), PIX (PCI Geomatica raster), GeoTIFF, textaskrár (ASCII)</t>
  </si>
  <si>
    <t>Hafísútbreiðsla</t>
  </si>
  <si>
    <t>Jarðskjálftagögn</t>
  </si>
  <si>
    <t>Fjölgeislamælingagögn</t>
  </si>
  <si>
    <t>Annað/GIS</t>
  </si>
  <si>
    <t>Gögn yfir vötn og úthaf, fjölgeislamæligögn eru hnitsett dýptargögn. Unnið með CARIS sem getur exporterað gögnum í önnur kerfi (ASCII).</t>
  </si>
  <si>
    <t>GPS landmælingagögn</t>
  </si>
  <si>
    <t>GPS landmælingar eru gerðar fyrir verkefnisstyrki, og eru í umsjón verkefnisstjóra</t>
  </si>
  <si>
    <t>Segulmælingagögn</t>
  </si>
  <si>
    <t>Raunvísindastofnun HÍ</t>
  </si>
  <si>
    <t>Dýptir sigkatla í Mýrdalsjökli_x000D_</t>
  </si>
  <si>
    <t>Þyngdarfrávik_x000D_</t>
  </si>
  <si>
    <t>Hafnir</t>
  </si>
  <si>
    <t>Sjóvarnir</t>
  </si>
  <si>
    <t>Dýptarmælingar</t>
  </si>
  <si>
    <t>Innsiglingaleiðir</t>
  </si>
  <si>
    <t>Botnarannsóknir</t>
  </si>
  <si>
    <t>Vitar</t>
  </si>
  <si>
    <t>Baujur</t>
  </si>
  <si>
    <t>Öldudufl</t>
  </si>
  <si>
    <t>Veður og sjólag</t>
  </si>
  <si>
    <t>Siglingastofnun</t>
  </si>
  <si>
    <t>Loftmyndir</t>
  </si>
  <si>
    <t>Skipulagsskrá</t>
  </si>
  <si>
    <t>númer og heiti sveitarfélags, uppdrættir og greinargerðir/skilmálar svæðis-, aðal- og deiliskipulagsáætlana og breytinga á þeim, hnitsettar afmarkanir deiliskipulagsáætlana, skipulagsstig og gildi áætlana,</t>
  </si>
  <si>
    <t>við hnitsetningu eru deiliskipulagsmörk gróft afmörkuð</t>
  </si>
  <si>
    <t>Skipulagsstofnun</t>
  </si>
  <si>
    <t>Skógrækt ríkisins</t>
  </si>
  <si>
    <t>Ræktað skóglendi</t>
  </si>
  <si>
    <t>Trjátegund, hæð trjáa, aldur trjáa, CORINE flokkun, skyldueigindir</t>
  </si>
  <si>
    <t>Starfsmenn Skógræktar ríkisins söfnuðu hluta af gögnum, megnið kemur þó frá utanaðkomandi aðilum. Stofnuninni ber að hafa umsjón og eftirlit með skógum landsins þó að það sé ekki beint tiltekið í lögum.</t>
  </si>
  <si>
    <t>Náttúrulegt birkilendi</t>
  </si>
  <si>
    <t>Gróðurfélag, hæð og aldur birkis, krónuþekja, botngróður skógar, skyldueigindir</t>
  </si>
  <si>
    <t>Endurkortlagning náttúrulegs birkilendis fer nú fram og mun ljúka árið 2014. Þetta verkefni er unnið af starfsmönnum Skógræktar ríkisins. Eldri gögn voru unnin af ýmsum aðilum m.a. Skógrækt ríkisins og Rala. Stofnuninni ber að hafa umsjón og eftirlit með skógum landsins þó að það sé ekki beint tiltekið í lögum.</t>
  </si>
  <si>
    <t>Vaxtarskilyrði trjágróðurs á Íslandi</t>
  </si>
  <si>
    <t>Gögnin eru á rastaformi. Þau sýna m.a. útbreiðslu trjágróðurs m.v. lágmarksvaxtarhita trjáa yfir sumartímann og frosthættu.</t>
  </si>
  <si>
    <t>Þessi gögn eru landfræðilegar greiningar á hitalíkönum Veðurstofu Íslands auk ýmissa annarra gagna. Gögnin eru á rastaformi.</t>
  </si>
  <si>
    <t>Mælinet Íslenskrar skógarúttektar</t>
  </si>
  <si>
    <t>X og Y hnit, einkvæmt númer punkts</t>
  </si>
  <si>
    <t>Þetta mælinet var útbúið fyrir verkefnið Íslensk skógarúttekt árið 2004. Upplausnin í mælinetinu er 500x500m en fyrir ræktað skóglendi er notað 500x1000m og fyrir náttúrulegt birkilendi 1500x3000m. Stofnuninni ber að hafa umsjón og eftirlit með skógum landsins þó að það sé ekki beint tiltekið í lögum.</t>
  </si>
  <si>
    <t>Mörk jarða Skógræktar ríkisins</t>
  </si>
  <si>
    <t>Jarðaheiti</t>
  </si>
  <si>
    <t>Landamerki jarða í eigu eða umsjón Skógræktar ríkisins</t>
  </si>
  <si>
    <t>Umferðarstofa</t>
  </si>
  <si>
    <t>Slysaskrá Umferðarslysa</t>
  </si>
  <si>
    <t>3.5 Heilbrigði og öryggi manna</t>
  </si>
  <si>
    <t>Aldur og kyn ökumanns og slasaðra, alvarleiki meiðsla, akstursskilyrði, orsök og tegund slyss, tími slyss (og fleira)</t>
  </si>
  <si>
    <t>US fær slysagögn frá lögreglu sem myndar grundvöll fyrir skráninguna en US greinir hins vegar textann úr lögregluskýrslum og bætir við gögnin, s.s. tegund og orsök slyss.  Form gagnanna hjá okkur er tafla í SQL grunni en hins vegar er þeim varpað í GIS af Loftmyndum ehf. og er til á því formi hjá þeim.</t>
  </si>
  <si>
    <t>Umhverfisstofnun</t>
  </si>
  <si>
    <t>Fellistaðir hreindýra</t>
  </si>
  <si>
    <t>nr veiðileyfis, X og Y hnit, dags uppr</t>
  </si>
  <si>
    <t>Sýnir staðsetningu felldra hreindýra</t>
  </si>
  <si>
    <t>Víðerni</t>
  </si>
  <si>
    <t>dags, km2</t>
  </si>
  <si>
    <t>Sýnir stærð ósnortina víðerna á Íslandi</t>
  </si>
  <si>
    <t>Friðlýst svæði á Íslandi</t>
  </si>
  <si>
    <t xml:space="preserve">Nafn, Friðlýsingaflokkur, reglugerðarnúmer, dags. uppr, dags uppfært, kvardi, gagnaeigandi, fitjutegund  </t>
  </si>
  <si>
    <t>Staðsetningar á friðlýstum svæðum á Íslandi</t>
  </si>
  <si>
    <t>Náttúruminjaskrá</t>
  </si>
  <si>
    <t>Nafn, tegund, nákvæmni, Innsetningar ár, skjalanúmer</t>
  </si>
  <si>
    <t>Staðsetningar svæða á náttúruminjaskrá</t>
  </si>
  <si>
    <t>Náttúruverndaráætlun 2004-2008</t>
  </si>
  <si>
    <t>Nafn, tegund, verndarflokkur, IBA_Code</t>
  </si>
  <si>
    <t>Sýnir svæði á náttúruverndaráætlun fyrir árin 2004-2008</t>
  </si>
  <si>
    <t>Náttúruverndaráætlun 2009-2013</t>
  </si>
  <si>
    <t>Nafn, nr_svaedi</t>
  </si>
  <si>
    <t>Sýnir svæði á náttúruverndaráætlun fyrir árin 2009-2013</t>
  </si>
  <si>
    <t>Tillaga að náttúruverndaráætlun 2004-2008</t>
  </si>
  <si>
    <t>Notað sem grunnur fyrir náttúruverndaráætlun</t>
  </si>
  <si>
    <t>Tillaga að náttúruverndaráætlun 2009-2013</t>
  </si>
  <si>
    <t>3.13 Skilyrði í lofthjúp</t>
  </si>
  <si>
    <t>Eftirlitsskyld starfsemi</t>
  </si>
  <si>
    <t>Nafn, flokkur starfsemi, X og Y hnit, dags. innsetningar</t>
  </si>
  <si>
    <t>Atvinnustarfssemi sem þarf leyfisveitingar frá Umhverfisstofnun og stofnunin hefur eftirlit með</t>
  </si>
  <si>
    <t>Vatnajökulsþjóðgarður</t>
  </si>
  <si>
    <t>Mörk Vatnajökulsþjóðgarðs</t>
  </si>
  <si>
    <t>já og nei</t>
  </si>
  <si>
    <t>Vatnagrunnur VÍ</t>
  </si>
  <si>
    <t>Vatnshlotagrunnur (WFD)</t>
  </si>
  <si>
    <t>Örnefni</t>
  </si>
  <si>
    <t>Örnefnum safnað af svæðum sem hafa verið hættumetin vegna snjóflóða.</t>
  </si>
  <si>
    <t>Hæðarlíkön jökla</t>
  </si>
  <si>
    <t>Veðurtunglamyndir</t>
  </si>
  <si>
    <t>Eyðing ósonlags</t>
  </si>
  <si>
    <t>Ein mælistöð staðsett á mælareit VÍ</t>
  </si>
  <si>
    <t>Koltvísýringur í andrúmslofti</t>
  </si>
  <si>
    <t>Ein mælistöð staðsett í Vestmannaeyjum</t>
  </si>
  <si>
    <t>Hættumatssvæði snjóflóða</t>
  </si>
  <si>
    <t>Hættustig eldfjalla</t>
  </si>
  <si>
    <t>Almennt skilyrði í lofthjúp</t>
  </si>
  <si>
    <t>Almennt veðurfræðilegar mælingar</t>
  </si>
  <si>
    <t>Veðurstofa Íslands</t>
  </si>
  <si>
    <t>Vegagerðin</t>
  </si>
  <si>
    <t>Þjóðvegakerfi</t>
  </si>
  <si>
    <t>Vegnúmer, vegheiti, vegflokkur, vegtegund, eigandi, gerð slitlags</t>
  </si>
  <si>
    <t>Þjóðvegir í umsjón Vegagerðarinnar, svo að hluta vegir sem hafa áður verið í umsjón Vegagerðarinnar. Gögnin eru miðlínur vega utan þéttbýlis eru að jafnaði með +/- 1m skekkju. Vegagkerfið er ekki kortlagt nákvæmlega á Höfuðborgarsvæðinu og er meiri ónákvæmni í þeim gögnum.</t>
  </si>
  <si>
    <t>Jarðgögn</t>
  </si>
  <si>
    <t>Heit, lengd, byggingaár</t>
  </si>
  <si>
    <t>Miðlína jarðganga. Nákvæmni +/- 1 m.</t>
  </si>
  <si>
    <t>Brýr</t>
  </si>
  <si>
    <t>Brúarheiti, lengd, breidd, akstursbreidd, byggingaár, gerð</t>
  </si>
  <si>
    <t>Brýr í eigu Vegagerðarinnar og einnig aflagðar brýr. Punktgögn, staðsett við upphaf brúa, Nákvæmn að öllu jöfnu +/- 15 m.</t>
  </si>
  <si>
    <t>Ræsi</t>
  </si>
  <si>
    <t>Gerð, þvermál og lengd</t>
  </si>
  <si>
    <t>Vegræsi. Punktgögn. Nákvæmni +/-15 m.</t>
  </si>
  <si>
    <t>Vegrið</t>
  </si>
  <si>
    <t>Gerð</t>
  </si>
  <si>
    <t>Upphafs- og endpunktur vegriða. Punktgögn. Nákvæmni +/- 15m</t>
  </si>
  <si>
    <t>Niðurföll og brunnar</t>
  </si>
  <si>
    <t>Staðsetningar niðurfalla á Suðvesturhorni landins. Nákvæmni gagna +/- 20 cm.</t>
  </si>
  <si>
    <t>Hæðarhindranir á Höfuðborgarsvæðinu</t>
  </si>
  <si>
    <t>Hæð undir brýr á mislægum gatnamótum, undir upplýsingaskilti og undir götuljós.</t>
  </si>
  <si>
    <t>Punktgögn. Nákvæmni +/- 5 m.</t>
  </si>
  <si>
    <t>Umferðarmerki</t>
  </si>
  <si>
    <t>Punktgögn. Nákvæmni +- 15 m.</t>
  </si>
  <si>
    <t>Yfirborðsmerkingar</t>
  </si>
  <si>
    <t>Gögn sem hefur verið safna saman frá sveitarfélögum og af Vegagerðinni. Polygonar og línur. Nákvæmni +/- 1 m. Gögnin ná yfir allt landið en göt eru í skráningunni á mörgum stöðum.</t>
  </si>
  <si>
    <t>Yfirborð umferðaeyja og vegfláa</t>
  </si>
  <si>
    <t>Pólgonar sem sýna sláttursvæði og grassvæði sem Vegagerðin sér um. Einnig eru upplýsingar um hellulagðar og steinsteyptar umferðareyja. Gögnin eru að hluta til frá sveitarrfélögum en einnig hefur Vegagerðin safnað gögnum. Gögnin ná yfir allt landið en víða eru göt í skráningum. Nákvæmni gagna +/- 1 m.</t>
  </si>
  <si>
    <t>Hálkuvarnir</t>
  </si>
  <si>
    <t>Miðlínur vega sem eru hálkuvarðar sérstaklega yfir vetrarmánuðina.</t>
  </si>
  <si>
    <t>Snjómokstursreglur</t>
  </si>
  <si>
    <t>Fjöldi moksturdaga.</t>
  </si>
  <si>
    <t>Miðlínur vega þar sem kemur fram hve oft í viku er mokað yfir vetrarmánuðina.</t>
  </si>
  <si>
    <t>Færðarkort</t>
  </si>
  <si>
    <t>Færð</t>
  </si>
  <si>
    <t>Miðlínurvega með færðarupplýsingum. Færðin er skráð nokkrum sinnum á dag eða eftir þörfum.</t>
  </si>
  <si>
    <t>Hafnarleiðir</t>
  </si>
  <si>
    <t>Vegir og götur sem hægt er að keyra með afbrigðilega háa farma til og frá höfnum í Reykjavík, Kópavogi og Hafnarfirði og út af höfuðborgarsvæðinu.</t>
  </si>
  <si>
    <t>Hraðamyndavélar</t>
  </si>
  <si>
    <t>Heiti</t>
  </si>
  <si>
    <t>Staðsetningar hraðamyndavéla við þjóðvegi landsins. Punktgögn, nákvæmni +/- 15 m.</t>
  </si>
  <si>
    <t>Myndavélar</t>
  </si>
  <si>
    <t>Staðsetningar myndavéla meðframþjóðvegum landsins sem taka myndir á nokkura mínútna fresti. Punktgögn. Nákvæmni +/- 15 m.</t>
  </si>
  <si>
    <t>Umferðagreinar og -teljarar</t>
  </si>
  <si>
    <t>Heiti, gerð.</t>
  </si>
  <si>
    <t>Tæki sem greina gerðir ökutækja, hraða og telja fjölda ökutækja. Ýmist sjálvirk tæki eða tæki sem eru sett upp af og til (þá á sama stað). Sjálvirk tæki skila af sér gögnum á nokkurra mínútna fresti. Punktgögn. Nákvæmni +/- 15 m.</t>
  </si>
  <si>
    <t>Veðurskilti</t>
  </si>
  <si>
    <t>Skilti sem birta veðurupplýsingar á ákveðnum leiðum:  Hitastig og vindhraða. Punktgögn nákvæmni +/- 15 m.</t>
  </si>
  <si>
    <t>Veðurstöðvar</t>
  </si>
  <si>
    <t>Heiti, gerð</t>
  </si>
  <si>
    <t>Staðsetningar á sjálvirkum veðurstöðvum Vegagerðarinnar auk veðurstöðva frá Veðurstofunni og Siglingastofnun. Nákvæmni +/- 15 m.</t>
  </si>
  <si>
    <t>Frostdýptarmælar</t>
  </si>
  <si>
    <t>Tæki sem mæla frostdýpi í vegum og skila af sér upplýsingum nokkrum sinnum á klst. Punktgögn. Nákvæmni +/- 15 m.</t>
  </si>
  <si>
    <t>Tegund óhapps, fjöldi slasaðra/látinna, fjöldi ökutækja, ofl.</t>
  </si>
  <si>
    <t>Slys og óhöpp á þjóðvegum landsins unnin í samvinnu við Umferðarstofu. Umferðarstofa frumskráir gögnin og þau eru svo yfirfarin á Vegagerðinni og eru tengd nánar við þjóðvegakerfið. Gagnasettið nær aftur til ársins 2003. Punktgögn. Nákvæmni elstu gagnana er ónákvæm, en eftir 2007 hefur verið hnitað eftir loftmyndum.</t>
  </si>
  <si>
    <t>Ársdagsumferð, sumardagsumferð, vetrardagsumferð</t>
  </si>
  <si>
    <t>Miðlínur stofn-, tengi- og landsvega með reiknuðu umferðarmagni frá árinu 2008.</t>
  </si>
  <si>
    <t>Slys</t>
  </si>
  <si>
    <t>Umferð</t>
  </si>
  <si>
    <t>Námur</t>
  </si>
  <si>
    <t>3.21 Jarðefnaauðlindir</t>
  </si>
  <si>
    <t>Heiti, jarðmyndun, efnisgerð, áætluð efnisþykkt, frágangur ofl.</t>
  </si>
  <si>
    <t>Námurnar eru staðsettar sem punktur nokkurn veginn fyrir miðri námu.</t>
  </si>
  <si>
    <t>Gryfjur og borholur</t>
  </si>
  <si>
    <t xml:space="preserve">Gerð jarðlags, dýpi, </t>
  </si>
  <si>
    <t>Tilraunaholur sem hafa verið teknar á efnistökusvæðum til að kanna efnisgerð auk hola sem eru grafnar eða boraðar í til að kanna undirstöðu vega og annarra vegamannvirkja. Punktgögn. Mismikil nákvæmni gagna. Allt frá +/- 1 m í +/- 15 m.</t>
  </si>
  <si>
    <t>Fastmerki</t>
  </si>
  <si>
    <t>Númer, staðsetning (austur, nordur og lat long (wgs84), hæð yfir sjó (ýmiss hæðarkerfi), hæð yfir ellipsu.</t>
  </si>
  <si>
    <t>Safn af fastmerkjum sem Vegagerðin hefur sett út auk fastmerkja annarra stofnanna, sveitarfélaga og fyrirtækja, s.s. Landsvirkjunar, Landmælinga Íslands, Orkustofnunar.</t>
  </si>
  <si>
    <t>Hönnunargögn: miðlínur, brotlínur, innmælingar, þversniðsmælingar</t>
  </si>
  <si>
    <t>CAD</t>
  </si>
  <si>
    <t>Hönnunargögn sem hafa orðið til í tengslum við veghönnun.</t>
  </si>
  <si>
    <t>Hæðarlíkön</t>
  </si>
  <si>
    <t>Innmælingar í þversniðum vega fyrir hönnun vega. Ná yfir takmörkuð svæði.</t>
  </si>
  <si>
    <t>Nákvæmari útlínur Náttúrminja og friðlýstra svæða.</t>
  </si>
  <si>
    <t>Örnefnagrunn fyrir CAD og GIS kerfi í mælikvarða amk. 1:10000</t>
  </si>
  <si>
    <t>Þjóðgarðurinn á Þingvöllum</t>
  </si>
  <si>
    <t>nei staðbundið</t>
  </si>
  <si>
    <t>skv. database frá LMi - punktgögn</t>
  </si>
  <si>
    <t>Unnið að örnefnaskráningu.  Sett inn í personal database frá LMÍ</t>
  </si>
  <si>
    <t>Fornleifar</t>
  </si>
  <si>
    <t>skv. database frá Fornleifavernd - punktgögn</t>
  </si>
  <si>
    <t>Erum að vinna að fornleifaskráningu, unnið inn í gagnagrunn hannaðan af Fornleifavernd ríkisins</t>
  </si>
  <si>
    <t>Loftmyndir frá Samsýn,  Eigum mjög gott yfirlit mynda frá 2005, 2007,</t>
  </si>
  <si>
    <t>Flákar</t>
  </si>
  <si>
    <t>Gróðurkort frá Náttúrufræðistofnun unnið að beiðni þjóðgarðsins</t>
  </si>
  <si>
    <t>Ágengar tegundir í þjóðgarðinum</t>
  </si>
  <si>
    <t>Flákar og punktgögn</t>
  </si>
  <si>
    <t>Höfum safnað saman þegar ágengar tegundir hafa uppgötvast og verið upprættar. Lítill gagnagrunnur</t>
  </si>
  <si>
    <t>Hæðarlínur</t>
  </si>
  <si>
    <t>Línur</t>
  </si>
  <si>
    <t>Hæðarlínugögn með loftmyndum</t>
  </si>
  <si>
    <t>Sumarbústaðir</t>
  </si>
  <si>
    <t>Flákar og línur punktar</t>
  </si>
  <si>
    <t>Yfirlit yfr sumarbústaðalóðir</t>
  </si>
  <si>
    <t>Byggingar</t>
  </si>
  <si>
    <t>Punktgögn</t>
  </si>
  <si>
    <t>Yfirlit yfir helstu hús innan þjóðgarðsins</t>
  </si>
  <si>
    <t>Mörk þjóðgarðsins</t>
  </si>
  <si>
    <t>Þjóðskrá</t>
  </si>
  <si>
    <t>Staðfangaskrá</t>
  </si>
  <si>
    <t>Staðfanganúmer, sveitarfélagsnúmer, hverfisnúmer, landeignarnúmer, götunúmer, götuheiti, rómverskt númer, örnefni, húsnúmer, bókstafur, lýsing, sérheiti, hnit aðkomu</t>
  </si>
  <si>
    <t>Landeignaskrá</t>
  </si>
  <si>
    <t>Landeignarnúmer, gerð (L/J/Þ), skipulögð notkun, skráð stærð séreignar, skráð stærð sameignar, landeignarhlutur, skikanúmer, mæld stærð skika, hnit fláka (skiki)</t>
  </si>
  <si>
    <t>Mannvirkjaskrá</t>
  </si>
  <si>
    <t>Mannvirkisnúmer, mannvirkishlutanúmer, landeignarnúmer, mannvirkisflokkun (Ist120), hnit fláka (grunnmynd mannvirkis) - aðrar eigindir sbr. rúmmál, byggingarár, tegund þaks eða hitaveitu, fjöldi rýma o.s.frv. eru fengin með því að spyrna mannvirkis- eða mannvirkishlutanúmeri við aðrar stoðtöflur og eru í bili ekki sérstaklega skilgreind sem hlut af þessari þekju.</t>
  </si>
  <si>
    <t>Er á teikniborðinu - ekki hefur verið farið í neina söfnun á þessum upplýsingum en þær liggja meira eða minna fyrir hjá sveitarfélögum. Aukinn áhugi hefur vaknað á að ÞÍ taki að sér að safna þessum upplýsingum saman, gera aðgengilegar og tengja við mannvirkjaskrá.</t>
  </si>
  <si>
    <t>Götuskrá</t>
  </si>
  <si>
    <t>Sveitarfélagsnúmer, hverfisnúmer, götunúmer, götuheiti, rómverskt númer, örnefni</t>
  </si>
  <si>
    <t>Götuskrá er einhverskonar hliðarafurð staðfangaskrár, sbr. að staðföng hengjast á götur. Samræma þarf þessa gagnasöfnun til þess að koma í veg fyrir að margar göturskrár verði til í landinu.</t>
  </si>
  <si>
    <t xml:space="preserve">Annars er veruleikinn sá að við notum allar upplýsingar sem hönd á festir. Fasteignamat er samspil margra ólíkra þátta - og því fleirum þáttum sem við náum inn í reiknilíkönin okkar - þeim mun nákvæmara fasteignamat getum við framreitt. </t>
  </si>
  <si>
    <t>Stíflur</t>
  </si>
  <si>
    <t>Ekki enn skilgreint.</t>
  </si>
  <si>
    <t>Dreifing ekki enn virk. Okkur finnst að það sé hlutverk LV að miðla upplýsingum um stíflur.</t>
  </si>
  <si>
    <t>Göng</t>
  </si>
  <si>
    <t>Dreifing ekki enn virk. Okkur finnst að það sé hlutverk LV að miðla upplýsingum um göng.</t>
  </si>
  <si>
    <t>Skurðir</t>
  </si>
  <si>
    <t>Dreifing ekki enn virk. Okkur finnst að það sé hlutverk LV að miðla upplýsingum um miðlunarskurði LV.</t>
  </si>
  <si>
    <t>Dreifing ekki enn virk. Okkur finnst að það sé hlutverk LV að miðla upplýsingum um brýr sem eru í eigu LV og tengjast því orkuöflun.</t>
  </si>
  <si>
    <t>Landsvirkjun</t>
  </si>
  <si>
    <t>HITI, gagnaskrá í Excel (GIS, Excel)</t>
  </si>
  <si>
    <t>TEG, lýsing, greining (GIS, DB)</t>
  </si>
  <si>
    <t>GERD; flokkun jarðmyndana (GIS, DB)</t>
  </si>
  <si>
    <t>GERD, lýsing (GIS, DB)</t>
  </si>
  <si>
    <t>GERD, lýsing (GIS, Excel)</t>
  </si>
  <si>
    <t>TEG, (GIS, Excel)</t>
  </si>
  <si>
    <t>TEG, lýsing, greining, mæling (GIS, Excel)</t>
  </si>
  <si>
    <t>vistgerd, vistlendi; flokkun í vistgerðir og vistlendi (GIS, Excel)</t>
  </si>
  <si>
    <t>GERD; flokkun jarðmyndana, HITI (GIS, Excel)</t>
  </si>
  <si>
    <t>TEG, REITIR, ÁR (GIS, Excel)</t>
  </si>
  <si>
    <t>TEG, REITIR, (GIS, DB)</t>
  </si>
  <si>
    <t>Nýtingarholur, aðrar holur (Oracle)</t>
  </si>
  <si>
    <t>Jarðhiti, aðrir orkugjafar (Oracle)</t>
  </si>
  <si>
    <t>Vatnsorka, jarðvarmi, eldsneyti, vindorka (Oracle)</t>
  </si>
  <si>
    <t>Díselstöðvar (Oracle)</t>
  </si>
  <si>
    <t>Smávirkjanir, gamlar heimarafstöðvar (Oracle)</t>
  </si>
  <si>
    <t>Hverir, laugar, aðrir jarðhitastaðir (Oracle)</t>
  </si>
  <si>
    <t>Ýmsir veituflokkar (Oracle)</t>
  </si>
  <si>
    <t>Iðnaður (Oracle)</t>
  </si>
  <si>
    <t>Gróðurhús, fiskeldi (Oracle)</t>
  </si>
  <si>
    <t>Tíðniskrá innheldur úthlutaðar tíðnir. Í tíðniskráni eru útvarðssendar, sjónvarpssendar, GSM sendar, 3G sendar hnitsettir. Aðrar tíðnir eru ekki tengdar við landfræðilegar upplýsingar. Gögn í SQL gagnagrunni.</t>
  </si>
  <si>
    <t>Radiovitar DGPS leiðrétting</t>
  </si>
  <si>
    <t>Gögn ná yfir hafsvæði umhverfis landið. Form gagna er GPS hnit (lengd og breidd) ásamt lýsingu tengdri svæðinu og eru gögnin vistuð í gagnagrunni Fiskistofu.</t>
  </si>
  <si>
    <t>Koralsvæði</t>
  </si>
  <si>
    <t>Yfirlitskönnun á lífríki íslenskra vatna</t>
  </si>
  <si>
    <t>SQL, Excel</t>
  </si>
  <si>
    <t>tegundir, magn</t>
  </si>
  <si>
    <t>Gagnagrunnur um umhverfisþætti</t>
  </si>
  <si>
    <t>Access, Excel,txt</t>
  </si>
  <si>
    <t>hiti, leiðini, pH, efni</t>
  </si>
  <si>
    <t>Gögn um lífríki straum- og stöðuvatna</t>
  </si>
  <si>
    <t>Excel, Access</t>
  </si>
  <si>
    <t>Veiðimálastofnun</t>
  </si>
  <si>
    <t>Niðurstöður úr hermunum flóða vegna eldgosa í Eyjafjallajökli og Mýrdalsjökli</t>
  </si>
  <si>
    <t>Hámarksútbreiðslusvæði flóða; framrásartími flóða</t>
  </si>
  <si>
    <t xml:space="preserve">Gögnin eru að hluta byggð á greiningu á gögnum frá öðrum og að hluta byggð á túlkun gagna frá öðrum, það er því ekki hægt að tala um söfnun gagna. Á þeim tíma sem gögnin urðu til var INSPIRE flokkunarkerfið ekki komið í gagnið og það flokkunarkerfi sem notað var fyrir gögn á Íslandi var of ósveigjanlegt til að hægt væri að beita því._x000D_
_x000D_
</t>
  </si>
  <si>
    <t>Ríkislögreglustjórinn</t>
  </si>
  <si>
    <t>Byggðastofnun</t>
  </si>
  <si>
    <t>Flugmálastjórn</t>
  </si>
  <si>
    <t>Geislavarnir ríkisins</t>
  </si>
  <si>
    <t>Hafrannsóknarstofnun</t>
  </si>
  <si>
    <t>Hagstofa Íslands</t>
  </si>
  <si>
    <t>ISOR</t>
  </si>
  <si>
    <t>Landsgræðsla ríkisins</t>
  </si>
  <si>
    <t>Forsætisráðuneyti</t>
  </si>
  <si>
    <t>AAAAAD///lU=</t>
  </si>
  <si>
    <t>Jarðvegsaðstæður</t>
  </si>
  <si>
    <t>Landamerki</t>
  </si>
  <si>
    <t>Fiskveiðar</t>
  </si>
  <si>
    <t>Hæð mannvirkja</t>
  </si>
  <si>
    <t>Vegakerfi</t>
  </si>
  <si>
    <t>Dreifing búfjár</t>
  </si>
  <si>
    <t>Landnotkun</t>
  </si>
  <si>
    <t>Landhæð</t>
  </si>
  <si>
    <t>Veðurfar</t>
  </si>
  <si>
    <t>Ástand gróðurs</t>
  </si>
  <si>
    <t>Reitaskipting heimilisfanga</t>
  </si>
  <si>
    <t>Yfirborð lands</t>
  </si>
  <si>
    <t>Háspennulínur</t>
  </si>
  <si>
    <t>Vistgerðaflokkun</t>
  </si>
  <si>
    <t>Jarðfræðikort</t>
  </si>
  <si>
    <t>Aukin nákvæmni</t>
  </si>
  <si>
    <t>Samræming</t>
  </si>
  <si>
    <t>Stórstraumsfjörumörk</t>
  </si>
  <si>
    <t>Byggingar með nýtingarflokkun</t>
  </si>
  <si>
    <t>Þjóðlendulína</t>
  </si>
  <si>
    <t>Strandlína</t>
  </si>
  <si>
    <t>Jarðir</t>
  </si>
  <si>
    <t>Jarðlög</t>
  </si>
  <si>
    <t>Skipulag</t>
  </si>
  <si>
    <t>útlínur mannvirkja</t>
  </si>
  <si>
    <t>Sveitarfélagamörk</t>
  </si>
  <si>
    <t>Náttúruminjar og friðlýst svæði</t>
  </si>
  <si>
    <t>Framhliðar mannvirkja</t>
  </si>
  <si>
    <t>Póstnúmer</t>
  </si>
  <si>
    <t>Þjóðgarðar</t>
  </si>
  <si>
    <t>Eiginleikar vega</t>
  </si>
  <si>
    <t>Áreiðanleiki</t>
  </si>
  <si>
    <t xml:space="preserve">Skipulag </t>
  </si>
  <si>
    <t>Útbreiðsla dýra</t>
  </si>
  <si>
    <t>Athugasemd</t>
  </si>
  <si>
    <t>Gagnasett</t>
  </si>
  <si>
    <t xml:space="preserve">Örnefni </t>
  </si>
  <si>
    <t xml:space="preserve">Vegir og götur </t>
  </si>
  <si>
    <t>Staðföng, reitir og póstnúmer</t>
  </si>
  <si>
    <t xml:space="preserve">Loftmyndir </t>
  </si>
  <si>
    <t xml:space="preserve">Landnotkun </t>
  </si>
  <si>
    <t xml:space="preserve">Landhæð </t>
  </si>
  <si>
    <t xml:space="preserve">Mannvirki </t>
  </si>
  <si>
    <t xml:space="preserve">Jarðfræði, jarðvegur og yfirborð </t>
  </si>
  <si>
    <t>Gróðurfar</t>
  </si>
  <si>
    <t>Lóðir og landamerki</t>
  </si>
  <si>
    <t>Gögn sem óskað var eftir</t>
  </si>
  <si>
    <t>Hve oft nefnt</t>
  </si>
  <si>
    <t xml:space="preserve"> Gögn um landnýtingu eftir sveitarfélögum. Þar er t.d. átt við upplýsingar um nýjar framræslur, nýræktun, endurheimt votlendis, uppistöðulón, sinubruna. beitarþunga á afréttum og eða í öðrum sameginlegum högum og fl. </t>
  </si>
  <si>
    <t>heimilisföng</t>
  </si>
  <si>
    <t>gróðurkort yfir allt landið;</t>
  </si>
  <si>
    <t xml:space="preserve">Landnýtingarkort í góðum gæðum; </t>
  </si>
  <si>
    <t>fjöldi ferðamanna eftir sveitarfélögum</t>
  </si>
  <si>
    <t>Ferðamenn</t>
  </si>
  <si>
    <t>Landnýtingarkort</t>
  </si>
  <si>
    <t>Fornleifar, Gæði landbúnaðarlands</t>
  </si>
  <si>
    <t>Landhæð, Radarmyndir</t>
  </si>
  <si>
    <t>Gróðurkort, jarðfræðikort</t>
  </si>
  <si>
    <t>Heiti stofnunar</t>
  </si>
  <si>
    <t>Fjöldi gagna- setta</t>
  </si>
  <si>
    <t>mismunur milli ára</t>
  </si>
  <si>
    <t>Flugstoðir / Flugmálastjórn</t>
  </si>
  <si>
    <t>Óbyggðanefnd / forsætisráðuneytið</t>
  </si>
  <si>
    <t>Hagþjónusta landbúnaðarins</t>
  </si>
  <si>
    <t>Landhelgisgæslan</t>
  </si>
  <si>
    <t>Landgræðslan</t>
  </si>
  <si>
    <t>Líf- og umhverfis-vísindastofnun HÍ</t>
  </si>
  <si>
    <t>Land- og ferðamála-fræðistofa Háskóla Íslands</t>
  </si>
  <si>
    <t>Skógræktin</t>
  </si>
  <si>
    <t>Stofnun Árna Magnússonar</t>
  </si>
  <si>
    <t>Fasteignamat ríkisins</t>
  </si>
  <si>
    <t>Niðurstöður 2012</t>
  </si>
  <si>
    <t>Þemu samkvæmt INSPIRE</t>
  </si>
  <si>
    <t>Fjöldi gagnasetta 2008</t>
  </si>
  <si>
    <t>Fjöldi gagnasetta 2012</t>
  </si>
  <si>
    <t>3.8  Framleiðslu- og iðnaðaraðstaða</t>
  </si>
  <si>
    <t>3.10 Mannfjöldadreifing / lýðfræði</t>
  </si>
  <si>
    <t>3.16 Innhafssvæði</t>
  </si>
  <si>
    <t xml:space="preserve">3.1 Tölfræðilegar einingar </t>
  </si>
  <si>
    <t>Þjóðlendumörk</t>
  </si>
  <si>
    <t>Strandlína/stórstraumsfjörumörk</t>
  </si>
  <si>
    <t>Gögnin eru að hluta byggð á greiningu á gögnum frá öðrum og að hluta byggð á túlkun gagna frá öðrum, það er því ekki hægt að tala um söfnun gagna. Á þeim tíma sem gögnin urðu til var INSPIRE flokkunarkerfið ekki komið í gagnið og það flokkunarkerfi sem notað var fyrir gögn á Íslandi var of ósveigjanlegt til að hægt væri að beita því._x000D_</t>
  </si>
  <si>
    <r>
      <t xml:space="preserve">Út frá þörfum leiðbeiningaþjónustu í landbúnaði má nefna að </t>
    </r>
    <r>
      <rPr>
        <b/>
        <sz val="10"/>
        <color rgb="FF000000"/>
        <rFont val="Calibri"/>
        <family val="2"/>
        <scheme val="minor"/>
      </rPr>
      <t xml:space="preserve">nákvæm gögn um jarðvegsgerð, jarðvegsdýpt og landhalla </t>
    </r>
    <r>
      <rPr>
        <sz val="10"/>
        <color rgb="FF000000"/>
        <rFont val="Calibri"/>
        <family val="2"/>
        <scheme val="minor"/>
      </rPr>
      <t>væru til mikilla bóta.</t>
    </r>
  </si>
  <si>
    <r>
      <t>Landamerkjaþekja Nytjalands er vissulega mjög takmörkuð og nýtist eingöngu til hliðsjónar þegar reynt er að átta sig á staðháttum.</t>
    </r>
    <r>
      <rPr>
        <b/>
        <sz val="10"/>
        <color rgb="FF000000"/>
        <rFont val="Calibri"/>
        <family val="2"/>
        <scheme val="minor"/>
      </rPr>
      <t xml:space="preserve"> Örugg/nákvæm landamerkjaþekja</t>
    </r>
    <r>
      <rPr>
        <sz val="10"/>
        <color rgb="FF000000"/>
        <rFont val="Calibri"/>
        <family val="2"/>
        <scheme val="minor"/>
      </rPr>
      <t xml:space="preserve"> er forsenda fyrir ráðgjöf um möguleika til landnýtingar hvers konar.</t>
    </r>
  </si>
  <si>
    <r>
      <t xml:space="preserve">Mjög mikilvægt fyrir okkur að hafa </t>
    </r>
    <r>
      <rPr>
        <b/>
        <sz val="10"/>
        <color theme="1"/>
        <rFont val="Calibri"/>
        <family val="2"/>
        <scheme val="minor"/>
      </rPr>
      <t>góða landamerkjaskrá</t>
    </r>
    <r>
      <rPr>
        <sz val="10"/>
        <color theme="1"/>
        <rFont val="Calibri"/>
        <family val="2"/>
        <scheme val="minor"/>
      </rPr>
      <t>. Við notumst við Nytjaland og er það mikið betra en ekkert en gögnin mættu vera betri.</t>
    </r>
  </si>
  <si>
    <r>
      <t>Að auki myndi nýtast okkur afar vel að hafa aðgang að gömlum kortum (t.d. Atlas/herforingjakortum) og góðri örnefnaskrá. Þessar skrár eru vissulega til (alla vegana að hluta) hjá LMÍ en</t>
    </r>
    <r>
      <rPr>
        <b/>
        <sz val="10"/>
        <color theme="1"/>
        <rFont val="Calibri"/>
        <family val="2"/>
        <scheme val="minor"/>
      </rPr>
      <t xml:space="preserve"> erfitt fyrir örstofnun  að fjármagna kaup á slíkum gögnum</t>
    </r>
    <r>
      <rPr>
        <sz val="10"/>
        <color theme="1"/>
        <rFont val="Calibri"/>
        <family val="2"/>
        <scheme val="minor"/>
      </rPr>
      <t xml:space="preserve">. Okkur kæmi einnig vel að hafa aðgang að skrám/gagnasettum sem gerðu okkur kleift að gera áhættugreiningu fyrir skráðar minjar t.d. </t>
    </r>
    <r>
      <rPr>
        <b/>
        <sz val="10"/>
        <color theme="1"/>
        <rFont val="Calibri"/>
        <family val="2"/>
        <scheme val="minor"/>
      </rPr>
      <t>svæði sem eru í hættu vegna uppblásturs, jarðhræringa og landbrots en einnig svæði sem er verið að raska að mannavöldum.</t>
    </r>
  </si>
  <si>
    <r>
      <t xml:space="preserve">Upplýsingar um </t>
    </r>
    <r>
      <rPr>
        <b/>
        <sz val="10"/>
        <color theme="1"/>
        <rFont val="Calibri"/>
        <family val="2"/>
        <scheme val="minor"/>
      </rPr>
      <t>staðsetningar og hæðir yfir landi á mannvirkjum (t.d. staurar, möstur, byggingar ofl.)</t>
    </r>
  </si>
  <si>
    <r>
      <rPr>
        <b/>
        <sz val="10"/>
        <color theme="1"/>
        <rFont val="Calibri"/>
        <family val="2"/>
        <scheme val="minor"/>
      </rPr>
      <t>Túnakort</t>
    </r>
    <r>
      <rPr>
        <sz val="10"/>
        <color theme="1"/>
        <rFont val="Calibri"/>
        <family val="2"/>
        <scheme val="minor"/>
      </rPr>
      <t xml:space="preserve"> sem unnið er að á vegum Bændasamtakanna/Búnaðarfélaga undir nafninu Jörð.is (verkinu er ekki lokið)</t>
    </r>
  </si>
  <si>
    <r>
      <rPr>
        <b/>
        <sz val="10"/>
        <color theme="1"/>
        <rFont val="Calibri"/>
        <family val="2"/>
        <scheme val="minor"/>
      </rPr>
      <t>Landamerki bújarða</t>
    </r>
    <r>
      <rPr>
        <sz val="10"/>
        <color theme="1"/>
        <rFont val="Calibri"/>
        <family val="2"/>
        <scheme val="minor"/>
      </rPr>
      <t xml:space="preserve"> sem unnið er að á vegum Þjóðskrár (verkinu ekki lokið)</t>
    </r>
  </si>
  <si>
    <r>
      <rPr>
        <b/>
        <sz val="10"/>
        <color theme="1"/>
        <rFont val="Calibri"/>
        <family val="2"/>
        <scheme val="minor"/>
      </rPr>
      <t>Gögn um dreifing búfjár á sveitabæjum eða eftir héruðum</t>
    </r>
    <r>
      <rPr>
        <sz val="10"/>
        <color theme="1"/>
        <rFont val="Calibri"/>
        <family val="2"/>
        <scheme val="minor"/>
      </rPr>
      <t>, Matvælastofnun vistar slík gögn.</t>
    </r>
  </si>
  <si>
    <r>
      <rPr>
        <b/>
        <sz val="10"/>
        <color theme="1"/>
        <rFont val="Calibri"/>
        <family val="2"/>
        <scheme val="minor"/>
      </rPr>
      <t>Nákvæmara hæðarlíkan</t>
    </r>
    <r>
      <rPr>
        <sz val="10"/>
        <color theme="1"/>
        <rFont val="Calibri"/>
        <family val="2"/>
        <scheme val="minor"/>
      </rPr>
      <t xml:space="preserve"> en Landmælingar skaffa</t>
    </r>
  </si>
  <si>
    <r>
      <rPr>
        <b/>
        <sz val="10"/>
        <color theme="1"/>
        <rFont val="Calibri"/>
        <family val="2"/>
        <scheme val="minor"/>
      </rPr>
      <t>Veðurfarsgögn.</t>
    </r>
    <r>
      <rPr>
        <sz val="10"/>
        <color theme="1"/>
        <rFont val="Calibri"/>
        <family val="2"/>
        <scheme val="minor"/>
      </rPr>
      <t xml:space="preserve"> T.d. </t>
    </r>
    <r>
      <rPr>
        <b/>
        <sz val="10"/>
        <color theme="1"/>
        <rFont val="Calibri"/>
        <family val="2"/>
        <scheme val="minor"/>
      </rPr>
      <t>stafræn gögn um meðaltals úrkomu, vind eftir mánuðum.</t>
    </r>
    <r>
      <rPr>
        <sz val="10"/>
        <color theme="1"/>
        <rFont val="Calibri"/>
        <family val="2"/>
        <scheme val="minor"/>
      </rPr>
      <t xml:space="preserve"> </t>
    </r>
  </si>
  <si>
    <r>
      <t xml:space="preserve">Upplýsingar um </t>
    </r>
    <r>
      <rPr>
        <b/>
        <sz val="10"/>
        <color theme="1"/>
        <rFont val="Calibri"/>
        <family val="2"/>
        <scheme val="minor"/>
      </rPr>
      <t>ástand gróðurfars á hverjum tíma</t>
    </r>
  </si>
  <si>
    <r>
      <rPr>
        <b/>
        <sz val="10"/>
        <color theme="1"/>
        <rFont val="Calibri"/>
        <family val="2"/>
        <scheme val="minor"/>
      </rPr>
      <t>Hnitsett heimilisfangaskrá (ásamt reitakerfi)</t>
    </r>
    <r>
      <rPr>
        <sz val="10"/>
        <color theme="1"/>
        <rFont val="Calibri"/>
        <family val="2"/>
        <scheme val="minor"/>
      </rPr>
      <t xml:space="preserve"> gæti hjálpað mikið við úrvinnslu á þeim gagnagrunnum sem Embætti landlækins ber ábyrgð á. Það gæti hjálpað til þess að geta sett fram heilsufarstölfræði niður á einingar sem falla ekki saman við sveitarfélög. Tilkoma reitakerfisins í var fyrsta skrefið en til þess að Embætti landlæknis geti nýtt sér reitakerfið þá þarf að vera möguleiki til að geta staðsett fólk innan þessara reita, þannig að hægt væri að hópa saman kennitölur eftir reitunum. Þetta kallar auðvitað á það að Hagstofan geti gefið frá sér</t>
    </r>
    <r>
      <rPr>
        <b/>
        <sz val="10"/>
        <color theme="1"/>
        <rFont val="Calibri"/>
        <family val="2"/>
        <scheme val="minor"/>
      </rPr>
      <t xml:space="preserve"> mannfjöldatölur niður á reiti reitakerfisins</t>
    </r>
    <r>
      <rPr>
        <sz val="10"/>
        <color theme="1"/>
        <rFont val="Calibri"/>
        <family val="2"/>
        <scheme val="minor"/>
      </rPr>
      <t>. Að öðrum kosti er ekki hægt að vigta þær fjöldatölur sem Embætti landlæknis hefur.</t>
    </r>
  </si>
  <si>
    <r>
      <rPr>
        <b/>
        <sz val="10"/>
        <color theme="1"/>
        <rFont val="Calibri"/>
        <family val="2"/>
        <scheme val="minor"/>
      </rPr>
      <t>Hnitsetta örnefnaskrá í stafrænu formi</t>
    </r>
    <r>
      <rPr>
        <sz val="10"/>
        <color theme="1"/>
        <rFont val="Calibri"/>
        <family val="2"/>
        <scheme val="minor"/>
      </rPr>
      <t xml:space="preserve"> (Stofnun Árna Magnússonar í íslenskum fræðum).</t>
    </r>
  </si>
  <si>
    <r>
      <t>Landsþekjandi gagnasett um yfirborð landsins (</t>
    </r>
    <r>
      <rPr>
        <b/>
        <sz val="10"/>
        <color theme="1"/>
        <rFont val="Calibri"/>
        <family val="2"/>
        <scheme val="minor"/>
      </rPr>
      <t>gróðurfar og yfirborðstegundir t.d. hraun</t>
    </r>
    <r>
      <rPr>
        <sz val="10"/>
        <color theme="1"/>
        <rFont val="Calibri"/>
        <family val="2"/>
        <scheme val="minor"/>
      </rPr>
      <t>).</t>
    </r>
  </si>
  <si>
    <r>
      <rPr>
        <b/>
        <sz val="10"/>
        <color theme="1"/>
        <rFont val="Calibri"/>
        <family val="2"/>
        <scheme val="minor"/>
      </rPr>
      <t xml:space="preserve">Landeignaskrá / Jarðaskrá </t>
    </r>
    <r>
      <rPr>
        <sz val="10"/>
        <color theme="1"/>
        <rFont val="Calibri"/>
        <family val="2"/>
        <scheme val="minor"/>
      </rPr>
      <t>(Þjóðskrá Íslands).</t>
    </r>
  </si>
  <si>
    <r>
      <rPr>
        <b/>
        <sz val="10"/>
        <color theme="1"/>
        <rFont val="Calibri"/>
        <family val="2"/>
        <scheme val="minor"/>
      </rPr>
      <t>Punktaskrá með heimilisföngum</t>
    </r>
    <r>
      <rPr>
        <sz val="10"/>
        <color theme="1"/>
        <rFont val="Calibri"/>
        <family val="2"/>
        <scheme val="minor"/>
      </rPr>
      <t xml:space="preserve"> (Þjóðskrá Íslands).</t>
    </r>
  </si>
  <si>
    <r>
      <rPr>
        <b/>
        <sz val="10"/>
        <color theme="1"/>
        <rFont val="Calibri"/>
        <family val="2"/>
        <scheme val="minor"/>
      </rPr>
      <t>Hæðarlíkan</t>
    </r>
    <r>
      <rPr>
        <sz val="10"/>
        <color theme="1"/>
        <rFont val="Calibri"/>
        <family val="2"/>
        <scheme val="minor"/>
      </rPr>
      <t xml:space="preserve"> í hærri upplausn (5-10);  </t>
    </r>
  </si>
  <si>
    <r>
      <rPr>
        <b/>
        <sz val="10"/>
        <color theme="1"/>
        <rFont val="Calibri"/>
        <family val="2"/>
        <scheme val="minor"/>
      </rPr>
      <t>Vistgerðarflokkun</t>
    </r>
    <r>
      <rPr>
        <sz val="10"/>
        <color theme="1"/>
        <rFont val="Calibri"/>
        <family val="2"/>
        <scheme val="minor"/>
      </rPr>
      <t xml:space="preserve"> NI fyrir allt landið</t>
    </r>
  </si>
  <si>
    <r>
      <rPr>
        <b/>
        <sz val="10"/>
        <color theme="1"/>
        <rFont val="Calibri"/>
        <family val="2"/>
        <scheme val="minor"/>
      </rPr>
      <t>Lagning háspennulína</t>
    </r>
    <r>
      <rPr>
        <sz val="10"/>
        <color theme="1"/>
        <rFont val="Calibri"/>
        <family val="2"/>
        <scheme val="minor"/>
      </rPr>
      <t xml:space="preserve"> (sem er alldeilis ófullnægjandi í IS50V)</t>
    </r>
  </si>
  <si>
    <r>
      <rPr>
        <b/>
        <sz val="10"/>
        <color theme="1"/>
        <rFont val="Calibri"/>
        <family val="2"/>
        <scheme val="minor"/>
      </rPr>
      <t>Nákvæm jarðfræðikort</t>
    </r>
    <r>
      <rPr>
        <sz val="10"/>
        <color theme="1"/>
        <rFont val="Calibri"/>
        <family val="2"/>
        <scheme val="minor"/>
      </rPr>
      <t xml:space="preserve"> yfir allt landið hafa aldrei verið til, en eru nauðsynleg grunnkort fyrir skipulagsvinnu, landnýtingu og landvernd. Til eru ýmis jarðfræðikort fyrir afmörkuð svæði sem hafa verið unnin oftast í tengslum við landnýtingu.  Þau kort eru mjög ólík að gerð. Nauðsynlegt er að fara í skipulagða og staðlaða vinnu í gerð nákvæmra jarðfræðikorta, sem jafnframt væri samstarfsverkefni stofnana og jarðvísindamanna. Náttúrufræðistofnun ætti að halda utan um þá vinnu.</t>
    </r>
  </si>
  <si>
    <r>
      <rPr>
        <b/>
        <sz val="10"/>
        <color theme="1"/>
        <rFont val="Calibri"/>
        <family val="2"/>
        <scheme val="minor"/>
      </rPr>
      <t>Nákvæmni í grunnkortum</t>
    </r>
    <r>
      <rPr>
        <sz val="10"/>
        <color theme="1"/>
        <rFont val="Calibri"/>
        <family val="2"/>
        <scheme val="minor"/>
      </rPr>
      <t xml:space="preserve"> (hér er átt við IS50v; hæðarlínur, strönd, vatnafar, jöklar) hafa verið ófullnægjandi í mörg ár, en fara batnandi með hverri endurskoðun. </t>
    </r>
  </si>
  <si>
    <r>
      <rPr>
        <b/>
        <sz val="10"/>
        <color theme="1"/>
        <rFont val="Calibri"/>
        <family val="2"/>
        <scheme val="minor"/>
      </rPr>
      <t>Stórstraumsfjörumörk</t>
    </r>
    <r>
      <rPr>
        <sz val="10"/>
        <color theme="1"/>
        <rFont val="Calibri"/>
        <family val="2"/>
        <scheme val="minor"/>
      </rPr>
      <t xml:space="preserve"> frá Sjómælingum Íslands</t>
    </r>
  </si>
  <si>
    <r>
      <rPr>
        <b/>
        <sz val="10"/>
        <color theme="1"/>
        <rFont val="Calibri"/>
        <family val="2"/>
        <scheme val="minor"/>
      </rPr>
      <t>Jarðamörk</t>
    </r>
    <r>
      <rPr>
        <sz val="10"/>
        <color theme="1"/>
        <rFont val="Calibri"/>
        <family val="2"/>
        <scheme val="minor"/>
      </rPr>
      <t xml:space="preserve"> á Íslandi frá Þjóðskrá Íslands (gögn í umferð eru upphaflega frá RALA)</t>
    </r>
  </si>
  <si>
    <r>
      <t>Gagnasett frá Þjóðskrá Íslands með s</t>
    </r>
    <r>
      <rPr>
        <b/>
        <sz val="10"/>
        <color theme="1"/>
        <rFont val="Calibri"/>
        <family val="2"/>
        <scheme val="minor"/>
      </rPr>
      <t>taðsetningum bygginga þar sem fram kemur nýtingarflokkun húsnæðis</t>
    </r>
  </si>
  <si>
    <r>
      <rPr>
        <b/>
        <sz val="10"/>
        <color theme="1"/>
        <rFont val="Calibri"/>
        <family val="2"/>
        <scheme val="minor"/>
      </rPr>
      <t>Þjóðlendulína</t>
    </r>
    <r>
      <rPr>
        <sz val="10"/>
        <color theme="1"/>
        <rFont val="Calibri"/>
        <family val="2"/>
        <scheme val="minor"/>
      </rPr>
      <t xml:space="preserve"> frá Forsætisráðuneyti (ekki til sem ein lína í sjálfstæðu gagnasetti)</t>
    </r>
  </si>
  <si>
    <r>
      <rPr>
        <b/>
        <sz val="10"/>
        <color theme="1"/>
        <rFont val="Calibri"/>
        <family val="2"/>
        <scheme val="minor"/>
      </rPr>
      <t>Strandlína Íslands</t>
    </r>
    <r>
      <rPr>
        <sz val="10"/>
        <color theme="1"/>
        <rFont val="Calibri"/>
        <family val="2"/>
        <scheme val="minor"/>
      </rPr>
      <t xml:space="preserve"> samræmd frá Landmælingum og Sjómælingum</t>
    </r>
  </si>
  <si>
    <r>
      <t xml:space="preserve">Stofnunnin vinnur að verkefni um </t>
    </r>
    <r>
      <rPr>
        <b/>
        <sz val="10"/>
        <color theme="1"/>
        <rFont val="Calibri"/>
        <family val="2"/>
        <scheme val="minor"/>
      </rPr>
      <t>gagnagrunn fjarskiptainnviða.</t>
    </r>
  </si>
  <si>
    <r>
      <rPr>
        <b/>
        <sz val="10"/>
        <color theme="1"/>
        <rFont val="Calibri"/>
        <family val="2"/>
        <scheme val="minor"/>
      </rPr>
      <t>Sundurgreinanlegar upplýsingar</t>
    </r>
    <r>
      <rPr>
        <sz val="10"/>
        <color theme="1"/>
        <rFont val="Calibri"/>
        <family val="2"/>
        <scheme val="minor"/>
      </rPr>
      <t xml:space="preserve"> um atvinnulíf, byggð og samfélag eftir sveitarfélögum, þéttbýli og dreyfbýli og milli hverfa í þéttbýli t.d. skrásettar vinnuvikur eftir tegund atvinnu sem teknar voru saman hjá Byggðastofnun</t>
    </r>
  </si>
  <si>
    <r>
      <t>Ýmsar aðrar grunnupplýsingar fyrir allt landið eftir sveitarfélögum og/eða landfræðilegri</t>
    </r>
    <r>
      <rPr>
        <b/>
        <sz val="10"/>
        <color theme="1"/>
        <rFont val="Calibri"/>
        <family val="2"/>
        <scheme val="minor"/>
      </rPr>
      <t xml:space="preserve"> staðsetningu s.s. fornleifar og flokkun gæða landbúnaðarlands</t>
    </r>
  </si>
  <si>
    <r>
      <rPr>
        <b/>
        <sz val="10"/>
        <color theme="1"/>
        <rFont val="Calibri"/>
        <family val="2"/>
        <scheme val="minor"/>
      </rPr>
      <t>Hæðarlíkan af Íslandi í góðri upplausn</t>
    </r>
    <r>
      <rPr>
        <sz val="10"/>
        <color theme="1"/>
        <rFont val="Calibri"/>
        <family val="2"/>
        <scheme val="minor"/>
      </rPr>
      <t xml:space="preserve"> myndi nýtast  við ýmsa greiningarvinnu. </t>
    </r>
    <r>
      <rPr>
        <b/>
        <sz val="10"/>
        <color theme="1"/>
        <rFont val="Calibri"/>
        <family val="2"/>
        <scheme val="minor"/>
      </rPr>
      <t>Radarmynd af Íslandi</t>
    </r>
    <r>
      <rPr>
        <sz val="10"/>
        <color theme="1"/>
        <rFont val="Calibri"/>
        <family val="2"/>
        <scheme val="minor"/>
      </rPr>
      <t xml:space="preserve"> gæti nýst við að kortleggja birkiskóga og birkikjarr á Íslandi. </t>
    </r>
  </si>
  <si>
    <r>
      <rPr>
        <b/>
        <sz val="10"/>
        <color theme="1"/>
        <rFont val="Calibri"/>
        <family val="2"/>
        <scheme val="minor"/>
      </rPr>
      <t>Loftmyndir af Íslandi</t>
    </r>
    <r>
      <rPr>
        <sz val="10"/>
        <color theme="1"/>
        <rFont val="Calibri"/>
        <family val="2"/>
        <scheme val="minor"/>
      </rPr>
      <t>. Ekki verið möguleiki að fá loftmyndir af öllu landinu vegna kostnaðar.</t>
    </r>
  </si>
  <si>
    <r>
      <rPr>
        <b/>
        <sz val="10"/>
        <color theme="1"/>
        <rFont val="Calibri"/>
        <family val="2"/>
        <scheme val="minor"/>
      </rPr>
      <t>Gagnagrunnur yfir jarðir</t>
    </r>
    <r>
      <rPr>
        <sz val="10"/>
        <color theme="1"/>
        <rFont val="Calibri"/>
        <family val="2"/>
        <scheme val="minor"/>
      </rPr>
      <t xml:space="preserve"> og lagaskýring á heitinu.</t>
    </r>
  </si>
  <si>
    <r>
      <t>Nákvæman</t>
    </r>
    <r>
      <rPr>
        <b/>
        <sz val="10"/>
        <color theme="1"/>
        <rFont val="Calibri"/>
        <family val="2"/>
        <scheme val="minor"/>
      </rPr>
      <t xml:space="preserve"> kortagrunn yfir laus jarðlög</t>
    </r>
  </si>
  <si>
    <r>
      <rPr>
        <b/>
        <sz val="10"/>
        <color theme="1"/>
        <rFont val="Calibri"/>
        <family val="2"/>
        <scheme val="minor"/>
      </rPr>
      <t>Skipulagsgögn á samræmdu formi</t>
    </r>
    <r>
      <rPr>
        <sz val="10"/>
        <color theme="1"/>
        <rFont val="Calibri"/>
        <family val="2"/>
        <scheme val="minor"/>
      </rPr>
      <t xml:space="preserve"> frá sveitarfélögum</t>
    </r>
  </si>
  <si>
    <r>
      <t xml:space="preserve">Uppdrætti frá sveitarfélögum, </t>
    </r>
    <r>
      <rPr>
        <b/>
        <sz val="10"/>
        <color theme="1"/>
        <rFont val="Calibri"/>
        <family val="2"/>
        <scheme val="minor"/>
      </rPr>
      <t xml:space="preserve">útlinur vega, húsa, </t>
    </r>
    <r>
      <rPr>
        <sz val="10"/>
        <color theme="1"/>
        <rFont val="Calibri"/>
        <family val="2"/>
        <scheme val="minor"/>
      </rPr>
      <t xml:space="preserve"> ofl.. Mjög mismunandi hvernig staðan er á þessum gögnum hjá sveitarfélögum.</t>
    </r>
  </si>
  <si>
    <r>
      <t xml:space="preserve">Heilstæða </t>
    </r>
    <r>
      <rPr>
        <b/>
        <sz val="10"/>
        <color theme="1"/>
        <rFont val="Calibri"/>
        <family val="2"/>
        <scheme val="minor"/>
      </rPr>
      <t>landamerkja skrá</t>
    </r>
    <r>
      <rPr>
        <sz val="10"/>
        <color theme="1"/>
        <rFont val="Calibri"/>
        <family val="2"/>
        <scheme val="minor"/>
      </rPr>
      <t xml:space="preserve"> með mun meiri nákvæmni en núverandi gögn og betur þekjandi</t>
    </r>
  </si>
  <si>
    <r>
      <t xml:space="preserve">Mun </t>
    </r>
    <r>
      <rPr>
        <b/>
        <sz val="10"/>
        <color theme="1"/>
        <rFont val="Calibri"/>
        <family val="2"/>
        <scheme val="minor"/>
      </rPr>
      <t xml:space="preserve">nákvæmari sveitarfélagsmörk </t>
    </r>
    <r>
      <rPr>
        <sz val="10"/>
        <color theme="1"/>
        <rFont val="Calibri"/>
        <family val="2"/>
        <scheme val="minor"/>
      </rPr>
      <t>en eru í IS50V grunninum.</t>
    </r>
  </si>
  <si>
    <r>
      <t xml:space="preserve">Ýmis náttúrfarskort í nákæmari mælikvarða sem t.d. hægt er að nýta í vinnu við mat á umhverfisáhrifum. Hér má nefna </t>
    </r>
    <r>
      <rPr>
        <b/>
        <sz val="10"/>
        <color theme="1"/>
        <rFont val="Calibri"/>
        <family val="2"/>
        <scheme val="minor"/>
      </rPr>
      <t xml:space="preserve">gróðurfarskort, jarðfræðikort </t>
    </r>
    <r>
      <rPr>
        <sz val="10"/>
        <color theme="1"/>
        <rFont val="Calibri"/>
        <family val="2"/>
        <scheme val="minor"/>
      </rPr>
      <t>ofl.</t>
    </r>
  </si>
  <si>
    <r>
      <rPr>
        <b/>
        <sz val="10"/>
        <color theme="1"/>
        <rFont val="Calibri"/>
        <family val="2"/>
        <scheme val="minor"/>
      </rPr>
      <t>Opinber strandlína Íslands</t>
    </r>
    <r>
      <rPr>
        <sz val="10"/>
        <color theme="1"/>
        <rFont val="Calibri"/>
        <family val="2"/>
        <scheme val="minor"/>
      </rPr>
      <t xml:space="preserve"> (stórstraumsfjöruborð)</t>
    </r>
  </si>
  <si>
    <r>
      <t xml:space="preserve">Opinbera og </t>
    </r>
    <r>
      <rPr>
        <b/>
        <sz val="10"/>
        <color theme="1"/>
        <rFont val="Calibri"/>
        <family val="2"/>
        <scheme val="minor"/>
      </rPr>
      <t>samræmda götuskrá</t>
    </r>
    <r>
      <rPr>
        <sz val="10"/>
        <color theme="1"/>
        <rFont val="Calibri"/>
        <family val="2"/>
        <scheme val="minor"/>
      </rPr>
      <t xml:space="preserve"> sem inniheldur allar götur á Íslandi, óháð hvort þær séu í umsjá ríkisins eða sveitarfélaga. Nauðsynlegt er að skráin sé lifandi og að hvert sveitarfélag færi inn upplýsingar um nýjar eða aflagðar götur jafn óðum.</t>
    </r>
  </si>
  <si>
    <r>
      <t>Stafrænt skipulag /</t>
    </r>
    <r>
      <rPr>
        <b/>
        <sz val="10"/>
        <color theme="1"/>
        <rFont val="Calibri"/>
        <family val="2"/>
        <scheme val="minor"/>
      </rPr>
      <t xml:space="preserve"> afmörkun skipulagðrar landnotkunar</t>
    </r>
    <r>
      <rPr>
        <sz val="10"/>
        <color theme="1"/>
        <rFont val="Calibri"/>
        <family val="2"/>
        <scheme val="minor"/>
      </rPr>
      <t>. Nákvæmni þessara gagna þurfa að vera mun meiri en venjulega er gert ráð fyrir í dag við gerð aðalskipulags - til þess að gera samkeyrslu við aðrar fitjuskrár, sbr. landeignaskrá, mögulega.</t>
    </r>
  </si>
  <si>
    <r>
      <rPr>
        <b/>
        <sz val="10"/>
        <color theme="1"/>
        <rFont val="Calibri"/>
        <family val="2"/>
        <scheme val="minor"/>
      </rPr>
      <t xml:space="preserve">Geo-taggaðar ljósmyndir af framhliðum mannvirkja </t>
    </r>
    <r>
      <rPr>
        <sz val="10"/>
        <color theme="1"/>
        <rFont val="Calibri"/>
        <family val="2"/>
        <scheme val="minor"/>
      </rPr>
      <t>- svipað og boðið er upp á af Goole maps.</t>
    </r>
  </si>
  <si>
    <r>
      <rPr>
        <b/>
        <sz val="10"/>
        <color theme="1"/>
        <rFont val="Calibri"/>
        <family val="2"/>
        <scheme val="minor"/>
      </rPr>
      <t xml:space="preserve">Opinbera póstnúmeraþekju </t>
    </r>
    <r>
      <rPr>
        <sz val="10"/>
        <color theme="1"/>
        <rFont val="Calibri"/>
        <family val="2"/>
        <scheme val="minor"/>
      </rPr>
      <t>sem treysta má á og er lifandi plagg.</t>
    </r>
  </si>
  <si>
    <r>
      <rPr>
        <b/>
        <sz val="10"/>
        <color theme="1"/>
        <rFont val="Calibri"/>
        <family val="2"/>
        <scheme val="minor"/>
      </rPr>
      <t>Gagnasett fyrir þjóðgarða</t>
    </r>
    <r>
      <rPr>
        <sz val="10"/>
        <color theme="1"/>
        <rFont val="Calibri"/>
        <family val="2"/>
        <scheme val="minor"/>
      </rPr>
      <t xml:space="preserve"> er ófullkomið því Vatnajökulsþjóðgarður er á ábyrgð Vatnajökulsstofu sem er fyrir austan en ekki Umhverfisstofnunar sem ber ábyrgð á þjóðgörðum.</t>
    </r>
  </si>
  <si>
    <r>
      <t xml:space="preserve">Mörg af þeim gagnasettum sem fáanleg eru miðast fyrst og fremst við þarfir eða lögbundið hlutverk þeirra stofnana sem setja gagnasöfnin saman eða framleiða þau. Vegasafn í IS50V er dæmi um þetta. Þar er að finna flokkun á vegum eftir vegalögum og einhverjar aðrar flokkanir. Þar eru ekki upplýsingar um </t>
    </r>
    <r>
      <rPr>
        <b/>
        <sz val="10"/>
        <color theme="1"/>
        <rFont val="Calibri"/>
        <family val="2"/>
        <scheme val="minor"/>
      </rPr>
      <t>burðarþol vega og brúa, breidd</t>
    </r>
    <r>
      <rPr>
        <sz val="10"/>
        <color theme="1"/>
        <rFont val="Calibri"/>
        <family val="2"/>
        <scheme val="minor"/>
      </rPr>
      <t xml:space="preserve"> </t>
    </r>
    <r>
      <rPr>
        <b/>
        <sz val="10"/>
        <color theme="1"/>
        <rFont val="Calibri"/>
        <family val="2"/>
        <scheme val="minor"/>
      </rPr>
      <t>vega og brúa eða leyfilegan hámarkshraða</t>
    </r>
    <r>
      <rPr>
        <sz val="10"/>
        <color theme="1"/>
        <rFont val="Calibri"/>
        <family val="2"/>
        <scheme val="minor"/>
      </rPr>
      <t xml:space="preserve">. Í safninu eru ekki heldur </t>
    </r>
    <r>
      <rPr>
        <b/>
        <sz val="10"/>
        <color theme="1"/>
        <rFont val="Calibri"/>
        <family val="2"/>
        <scheme val="minor"/>
      </rPr>
      <t>upplýsingar um hverskonar ökutæki komast um viðkomandi vegi</t>
    </r>
    <r>
      <rPr>
        <sz val="10"/>
        <color theme="1"/>
        <rFont val="Calibri"/>
        <family val="2"/>
        <scheme val="minor"/>
      </rPr>
      <t xml:space="preserve"> (dæmi: fær öllum bílum; einungis fær jeppum; einungis fær breyttum jeppum; einungis fær mikið breyttum bílum; einungis opinn yfir sumarmánuði). Eitt af markmiðunum með því að setja smana gagnasett í GIS-kerfi hlýtur að vera að gera notendum kleyft að gera kort til að miðla upplýsingum. Ef eigindir gagnanna takmarka eigindir upplýsinga við eigin þarfir þá næst þetta markmið ekki.</t>
    </r>
  </si>
  <si>
    <r>
      <rPr>
        <b/>
        <sz val="10"/>
        <color theme="1"/>
        <rFont val="Calibri"/>
        <family val="2"/>
        <scheme val="minor"/>
      </rPr>
      <t>Upplýsingar í ýmsum gagnasettum eru rangar</t>
    </r>
    <r>
      <rPr>
        <sz val="10"/>
        <color theme="1"/>
        <rFont val="Calibri"/>
        <family val="2"/>
        <scheme val="minor"/>
      </rPr>
      <t>. Þeir sem setja gagnasett saman átti sig ekki á því að það er þörf á að prófa gagnasett áður en þau eru sett á markað. Í mörgum tilfellum er ekki nóg að gera úrtaksprófanir, þær geta í besta falli gefið manni hugmyndir um hversu hátt hlutfall gagnanna í safninu er rangt. Sum af þeim gagnasettum sem eru í umferð eru notuð við að senda lífsbjargandi aðstoð og ef villur eru í gagnasafninu, s.s. röng heimilisföng eða þá að heimilisföng vantar í gagnasafnið þá getur það varðað mannslíf.</t>
    </r>
  </si>
  <si>
    <t>Efnainnihald og eðliseiginleikar jarð-   vegs</t>
  </si>
  <si>
    <t>Þetta ætti hugsanlega að vera í 3.11</t>
  </si>
  <si>
    <t>Fjöldi stofnana á þema</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</si>
</sst>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b/>
      <sz val="11"/>
      <color theme="1"/>
      <name val="Calibri"/>
      <family val="2"/>
      <scheme val="minor"/>
    </font>
    <font>
      <sz val="10"/>
      <color theme="1"/>
      <name val="Calibri"/>
      <family val="2"/>
      <scheme val="minor"/>
    </font>
    <font>
      <b/>
      <sz val="8"/>
      <color theme="1"/>
      <name val="Calibri"/>
      <family val="2"/>
      <scheme val="minor"/>
    </font>
    <font>
      <sz val="8"/>
      <color theme="1"/>
      <name val="Calibri"/>
      <family val="2"/>
      <scheme val="minor"/>
    </font>
    <font>
      <sz val="11"/>
      <color theme="1"/>
      <name val="Calibri"/>
      <family val="2"/>
      <scheme val="minor"/>
    </font>
    <font>
      <sz val="10"/>
      <color indexed="8"/>
      <name val="Arial"/>
      <family val="2"/>
    </font>
    <font>
      <b/>
      <sz val="14"/>
      <color theme="1"/>
      <name val="Calibri"/>
      <family val="2"/>
      <scheme val="minor"/>
    </font>
    <font>
      <u/>
      <sz val="11"/>
      <color theme="10"/>
      <name val="Calibri"/>
      <family val="2"/>
      <scheme val="minor"/>
    </font>
    <font>
      <sz val="11"/>
      <name val="Calibri"/>
      <family val="2"/>
      <scheme val="minor"/>
    </font>
    <font>
      <b/>
      <sz val="11"/>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theme="1"/>
      <name val="Calibri"/>
      <family val="2"/>
      <scheme val="minor"/>
    </font>
    <font>
      <sz val="10"/>
      <color rgb="FF000000"/>
      <name val="Calibri"/>
      <family val="2"/>
      <scheme val="minor"/>
    </font>
    <font>
      <b/>
      <sz val="10"/>
      <color rgb="FF000000"/>
      <name val="Calibri"/>
      <family val="2"/>
      <scheme val="minor"/>
    </font>
    <font>
      <sz val="11"/>
      <color rgb="FFFF0000"/>
      <name val="Calibri"/>
      <family val="2"/>
      <scheme val="minor"/>
    </font>
    <font>
      <sz val="9"/>
      <color indexed="81"/>
      <name val="Tahoma"/>
      <family val="2"/>
    </font>
    <font>
      <b/>
      <sz val="9"/>
      <color indexed="81"/>
      <name val="Tahoma"/>
      <family val="2"/>
    </font>
  </fonts>
  <fills count="3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2" tint="-0.499984740745262"/>
        <bgColor indexed="64"/>
      </patternFill>
    </fill>
    <fill>
      <patternFill patternType="solid">
        <fgColor theme="9" tint="0.39997558519241921"/>
        <bgColor indexed="64"/>
      </patternFill>
    </fill>
    <fill>
      <patternFill patternType="solid">
        <fgColor theme="0"/>
        <bgColor indexed="64"/>
      </patternFill>
    </fill>
    <fill>
      <patternFill patternType="solid">
        <fgColor theme="2" tint="-0.249977111117893"/>
        <bgColor indexed="64"/>
      </patternFill>
    </fill>
    <fill>
      <patternFill patternType="solid">
        <fgColor theme="3" tint="0.59999389629810485"/>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8" tint="0.39997558519241921"/>
        <bgColor indexed="64"/>
      </patternFill>
    </fill>
    <fill>
      <patternFill patternType="solid">
        <fgColor theme="6" tint="-0.499984740745262"/>
        <bgColor indexed="64"/>
      </patternFill>
    </fill>
    <fill>
      <patternFill patternType="solid">
        <fgColor theme="3" tint="0.39997558519241921"/>
        <bgColor indexed="64"/>
      </patternFill>
    </fill>
    <fill>
      <patternFill patternType="solid">
        <fgColor rgb="FF92D050"/>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7" tint="0.59999389629810485"/>
        <bgColor indexed="64"/>
      </patternFill>
    </fill>
    <fill>
      <patternFill patternType="solid">
        <fgColor theme="6" tint="-0.249977111117893"/>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9" tint="-0.249977111117893"/>
        <bgColor indexed="64"/>
      </patternFill>
    </fill>
    <fill>
      <patternFill patternType="solid">
        <fgColor theme="6" tint="0.79998168889431442"/>
        <bgColor indexed="64"/>
      </patternFill>
    </fill>
    <fill>
      <patternFill patternType="solid">
        <fgColor rgb="FFF0F2DC"/>
        <bgColor indexed="64"/>
      </patternFill>
    </fill>
    <fill>
      <patternFill patternType="solid">
        <fgColor rgb="FFFFFEAC"/>
        <bgColor indexed="64"/>
      </patternFill>
    </fill>
    <fill>
      <patternFill patternType="solid">
        <fgColor rgb="FFEFFB53"/>
        <bgColor indexed="64"/>
      </patternFill>
    </fill>
    <fill>
      <patternFill patternType="solid">
        <fgColor rgb="FFD1F20E"/>
        <bgColor indexed="64"/>
      </patternFill>
    </fill>
    <fill>
      <patternFill patternType="solid">
        <fgColor rgb="FFA2C2E8"/>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right/>
      <top/>
      <bottom style="medium">
        <color indexed="64"/>
      </bottom>
      <diagonal/>
    </border>
    <border>
      <left/>
      <right/>
      <top style="medium">
        <color indexed="64"/>
      </top>
      <bottom/>
      <diagonal/>
    </border>
  </borders>
  <cellStyleXfs count="2">
    <xf numFmtId="0" fontId="0" fillId="0" borderId="0"/>
    <xf numFmtId="0" fontId="8" fillId="0" borderId="0" applyNumberFormat="0" applyFill="0" applyBorder="0" applyAlignment="0" applyProtection="0"/>
  </cellStyleXfs>
  <cellXfs count="205">
    <xf numFmtId="0" fontId="0" fillId="0" borderId="0" xfId="0"/>
    <xf numFmtId="0" fontId="1" fillId="0" borderId="0" xfId="0" applyFont="1"/>
    <xf numFmtId="0" fontId="0" fillId="0" borderId="0" xfId="0" applyAlignment="1">
      <alignment wrapText="1"/>
    </xf>
    <xf numFmtId="0" fontId="0" fillId="0" borderId="0" xfId="0" applyFont="1"/>
    <xf numFmtId="0" fontId="0" fillId="0" borderId="0" xfId="0" applyFont="1" applyAlignment="1">
      <alignment wrapText="1"/>
    </xf>
    <xf numFmtId="0" fontId="0" fillId="2" borderId="0" xfId="0" applyFill="1"/>
    <xf numFmtId="0" fontId="0" fillId="3" borderId="0" xfId="0" applyFill="1"/>
    <xf numFmtId="0" fontId="1" fillId="0" borderId="0" xfId="0" applyFont="1" applyAlignment="1">
      <alignment horizontal="left" textRotation="90"/>
    </xf>
    <xf numFmtId="0" fontId="0" fillId="2" borderId="0" xfId="0" applyFill="1" applyAlignment="1">
      <alignment horizontal="left"/>
    </xf>
    <xf numFmtId="0" fontId="0" fillId="0" borderId="0" xfId="0" applyAlignment="1">
      <alignment horizontal="left"/>
    </xf>
    <xf numFmtId="0" fontId="1" fillId="0" borderId="0" xfId="0" applyFont="1" applyAlignment="1">
      <alignment horizontal="left"/>
    </xf>
    <xf numFmtId="0" fontId="0" fillId="6" borderId="0" xfId="0" applyFont="1" applyFill="1"/>
    <xf numFmtId="0" fontId="0" fillId="7" borderId="0" xfId="0" applyFill="1"/>
    <xf numFmtId="0" fontId="1" fillId="8" borderId="2" xfId="0" applyFont="1" applyFill="1" applyBorder="1"/>
    <xf numFmtId="0" fontId="0" fillId="0" borderId="1" xfId="0" applyBorder="1" applyAlignment="1">
      <alignment horizontal="justify" vertical="center"/>
    </xf>
    <xf numFmtId="0" fontId="0" fillId="0" borderId="1" xfId="0" applyBorder="1" applyAlignment="1">
      <alignment horizontal="center"/>
    </xf>
    <xf numFmtId="0" fontId="0" fillId="0" borderId="3" xfId="0" applyBorder="1" applyAlignment="1">
      <alignment horizontal="justify" vertical="center"/>
    </xf>
    <xf numFmtId="0" fontId="0" fillId="0" borderId="3" xfId="0" applyBorder="1" applyAlignment="1">
      <alignment horizontal="center"/>
    </xf>
    <xf numFmtId="0" fontId="1" fillId="0" borderId="0" xfId="0" applyFont="1" applyAlignment="1">
      <alignment horizontal="left" vertical="center"/>
    </xf>
    <xf numFmtId="0" fontId="2" fillId="0" borderId="0" xfId="0" applyFont="1"/>
    <xf numFmtId="0" fontId="2" fillId="2" borderId="0" xfId="0" applyFont="1" applyFill="1"/>
    <xf numFmtId="0" fontId="2" fillId="2" borderId="0" xfId="0" applyFont="1" applyFill="1" applyAlignment="1">
      <alignment vertical="top"/>
    </xf>
    <xf numFmtId="0" fontId="2" fillId="0" borderId="1" xfId="0" applyFont="1" applyBorder="1" applyAlignment="1">
      <alignment wrapText="1"/>
    </xf>
    <xf numFmtId="0" fontId="2" fillId="0" borderId="1" xfId="0" applyFont="1" applyBorder="1" applyAlignment="1">
      <alignment horizontal="left" wrapText="1"/>
    </xf>
    <xf numFmtId="0" fontId="0" fillId="0" borderId="0" xfId="0" applyFont="1" applyFill="1"/>
    <xf numFmtId="0" fontId="1" fillId="0" borderId="1" xfId="0" applyFont="1" applyBorder="1"/>
    <xf numFmtId="0" fontId="1" fillId="8" borderId="1" xfId="0" applyFont="1" applyFill="1" applyBorder="1" applyAlignment="1">
      <alignment wrapText="1"/>
    </xf>
    <xf numFmtId="0" fontId="1" fillId="0" borderId="1" xfId="0" applyFont="1" applyBorder="1" applyAlignment="1">
      <alignment horizontal="center"/>
    </xf>
    <xf numFmtId="0" fontId="0" fillId="0" borderId="1" xfId="0" applyBorder="1" applyAlignment="1">
      <alignment horizontal="center" wrapText="1"/>
    </xf>
    <xf numFmtId="0" fontId="1" fillId="8" borderId="1" xfId="0" applyFont="1" applyFill="1" applyBorder="1"/>
    <xf numFmtId="0" fontId="1" fillId="8" borderId="1" xfId="0" applyFont="1" applyFill="1" applyBorder="1" applyAlignment="1">
      <alignment horizontal="center" wrapText="1"/>
    </xf>
    <xf numFmtId="0" fontId="0" fillId="8" borderId="1" xfId="0" applyFill="1" applyBorder="1" applyAlignment="1">
      <alignment horizontal="justify" vertical="center" wrapText="1"/>
    </xf>
    <xf numFmtId="0" fontId="0" fillId="0" borderId="1" xfId="0" applyBorder="1" applyAlignment="1">
      <alignment horizontal="center" vertical="center" wrapText="1"/>
    </xf>
    <xf numFmtId="0" fontId="0" fillId="8" borderId="5" xfId="0" applyFill="1" applyBorder="1" applyAlignment="1">
      <alignment horizontal="center" wrapText="1"/>
    </xf>
    <xf numFmtId="0" fontId="6" fillId="8" borderId="1" xfId="0" applyFont="1" applyFill="1" applyBorder="1" applyAlignment="1">
      <alignment wrapText="1"/>
    </xf>
    <xf numFmtId="0" fontId="6" fillId="8" borderId="1" xfId="0" applyNumberFormat="1" applyFont="1" applyFill="1" applyBorder="1" applyAlignment="1">
      <alignment wrapText="1"/>
    </xf>
    <xf numFmtId="0" fontId="0" fillId="0" borderId="2" xfId="0" applyBorder="1" applyAlignment="1">
      <alignment horizontal="justify" vertical="center"/>
    </xf>
    <xf numFmtId="0" fontId="6" fillId="8" borderId="2" xfId="0" applyFont="1" applyFill="1" applyBorder="1" applyAlignment="1">
      <alignment wrapText="1"/>
    </xf>
    <xf numFmtId="0" fontId="0" fillId="8" borderId="7" xfId="0" applyFill="1" applyBorder="1" applyAlignment="1">
      <alignment horizontal="center" wrapText="1"/>
    </xf>
    <xf numFmtId="0" fontId="0" fillId="0" borderId="3" xfId="0" applyBorder="1"/>
    <xf numFmtId="0" fontId="0" fillId="8" borderId="3" xfId="0" applyFill="1" applyBorder="1" applyAlignment="1">
      <alignment wrapText="1"/>
    </xf>
    <xf numFmtId="0" fontId="0" fillId="8" borderId="3" xfId="0" applyFill="1" applyBorder="1" applyAlignment="1">
      <alignment horizontal="center"/>
    </xf>
    <xf numFmtId="0" fontId="0" fillId="0" borderId="3" xfId="0" applyBorder="1" applyAlignment="1">
      <alignment horizontal="center" wrapText="1"/>
    </xf>
    <xf numFmtId="0" fontId="0" fillId="0" borderId="0" xfId="0" applyAlignment="1">
      <alignment horizontal="center" vertical="center" wrapText="1"/>
    </xf>
    <xf numFmtId="0" fontId="1" fillId="8"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7" fillId="0" borderId="0" xfId="0" applyFont="1" applyAlignment="1">
      <alignment wrapText="1"/>
    </xf>
    <xf numFmtId="0" fontId="5" fillId="0" borderId="1" xfId="0" applyFont="1" applyBorder="1" applyAlignment="1">
      <alignment horizontal="justify" vertical="center" wrapText="1"/>
    </xf>
    <xf numFmtId="0" fontId="0" fillId="0" borderId="0" xfId="0" applyAlignment="1">
      <alignment horizontal="center" wrapText="1"/>
    </xf>
    <xf numFmtId="0" fontId="0" fillId="13" borderId="0" xfId="0" applyFill="1"/>
    <xf numFmtId="0" fontId="0" fillId="14" borderId="0" xfId="0" applyFill="1"/>
    <xf numFmtId="0" fontId="0" fillId="5" borderId="0" xfId="0" applyFill="1"/>
    <xf numFmtId="0" fontId="0" fillId="15" borderId="0" xfId="0" applyFill="1"/>
    <xf numFmtId="0" fontId="0" fillId="16" borderId="0" xfId="0" applyFill="1"/>
    <xf numFmtId="0" fontId="0" fillId="17" borderId="0" xfId="0" applyFill="1"/>
    <xf numFmtId="0" fontId="0" fillId="17" borderId="0" xfId="0" applyFill="1" applyAlignment="1">
      <alignment wrapText="1"/>
    </xf>
    <xf numFmtId="0" fontId="0" fillId="6" borderId="0" xfId="0" applyFill="1"/>
    <xf numFmtId="0" fontId="0" fillId="10" borderId="0" xfId="0" applyFill="1"/>
    <xf numFmtId="0" fontId="0" fillId="18" borderId="0" xfId="0" applyFill="1"/>
    <xf numFmtId="0" fontId="0" fillId="19" borderId="0" xfId="0" applyFill="1"/>
    <xf numFmtId="0" fontId="0" fillId="20" borderId="0" xfId="0" applyFill="1"/>
    <xf numFmtId="0" fontId="0" fillId="21" borderId="0" xfId="0" applyFill="1"/>
    <xf numFmtId="0" fontId="0" fillId="22" borderId="0" xfId="0" applyFill="1"/>
    <xf numFmtId="0" fontId="0" fillId="23" borderId="0" xfId="0" applyFill="1"/>
    <xf numFmtId="0" fontId="0" fillId="24" borderId="0" xfId="0" applyFill="1"/>
    <xf numFmtId="0" fontId="0" fillId="25" borderId="0" xfId="0" applyFill="1"/>
    <xf numFmtId="0" fontId="0" fillId="9" borderId="0" xfId="0" applyFill="1"/>
    <xf numFmtId="0" fontId="0" fillId="26" borderId="0" xfId="0" applyFill="1"/>
    <xf numFmtId="0" fontId="0" fillId="6" borderId="0" xfId="0" applyFill="1" applyAlignment="1">
      <alignment horizontal="left"/>
    </xf>
    <xf numFmtId="0" fontId="0" fillId="15" borderId="0" xfId="0" applyFill="1" applyAlignment="1">
      <alignment horizontal="left"/>
    </xf>
    <xf numFmtId="0" fontId="0" fillId="24" borderId="0" xfId="0" applyFill="1" applyAlignment="1">
      <alignment horizontal="left"/>
    </xf>
    <xf numFmtId="0" fontId="0" fillId="17" borderId="0" xfId="0" applyFill="1" applyAlignment="1">
      <alignment horizontal="left"/>
    </xf>
    <xf numFmtId="0" fontId="0" fillId="27" borderId="0" xfId="0" applyFill="1"/>
    <xf numFmtId="0" fontId="0" fillId="27" borderId="0" xfId="0" applyFill="1" applyAlignment="1">
      <alignment horizontal="left"/>
    </xf>
    <xf numFmtId="0" fontId="0" fillId="14" borderId="0" xfId="0" applyFill="1" applyAlignment="1">
      <alignment horizontal="left"/>
    </xf>
    <xf numFmtId="0" fontId="0" fillId="28" borderId="0" xfId="0" applyFill="1"/>
    <xf numFmtId="0" fontId="0" fillId="28" borderId="0" xfId="0" applyFill="1" applyAlignment="1">
      <alignment horizontal="left"/>
    </xf>
    <xf numFmtId="0" fontId="0" fillId="9" borderId="0" xfId="0" applyFill="1" applyAlignment="1">
      <alignment horizontal="left"/>
    </xf>
    <xf numFmtId="0" fontId="0" fillId="26" borderId="0" xfId="0" applyFill="1" applyAlignment="1">
      <alignment horizontal="left"/>
    </xf>
    <xf numFmtId="0" fontId="0" fillId="25" borderId="0" xfId="0" applyFill="1" applyAlignment="1">
      <alignment horizontal="left"/>
    </xf>
    <xf numFmtId="0" fontId="0" fillId="22" borderId="0" xfId="0" applyFill="1" applyAlignment="1">
      <alignment horizontal="left"/>
    </xf>
    <xf numFmtId="0" fontId="0" fillId="13" borderId="0" xfId="0" applyFill="1" applyAlignment="1">
      <alignment horizontal="left"/>
    </xf>
    <xf numFmtId="0" fontId="0" fillId="10" borderId="0" xfId="0" applyFill="1" applyAlignment="1">
      <alignment horizontal="left"/>
    </xf>
    <xf numFmtId="0" fontId="0" fillId="21" borderId="0" xfId="0" applyFill="1" applyAlignment="1">
      <alignment horizontal="left"/>
    </xf>
    <xf numFmtId="0" fontId="0" fillId="19" borderId="0" xfId="0" applyFill="1" applyAlignment="1">
      <alignment horizontal="left"/>
    </xf>
    <xf numFmtId="0" fontId="0" fillId="11" borderId="0" xfId="0" applyFill="1"/>
    <xf numFmtId="0" fontId="0" fillId="11" borderId="0" xfId="0" applyFill="1" applyAlignment="1">
      <alignment horizontal="left"/>
    </xf>
    <xf numFmtId="0" fontId="0" fillId="3" borderId="0" xfId="0" applyFill="1" applyAlignment="1">
      <alignment horizontal="left"/>
    </xf>
    <xf numFmtId="0" fontId="0" fillId="23" borderId="0" xfId="0" applyFill="1" applyAlignment="1">
      <alignment horizontal="left"/>
    </xf>
    <xf numFmtId="0" fontId="0" fillId="16" borderId="0" xfId="0" applyFill="1" applyAlignment="1">
      <alignment horizontal="left"/>
    </xf>
    <xf numFmtId="0" fontId="0" fillId="25" borderId="0" xfId="0" applyFill="1" applyAlignment="1">
      <alignment wrapText="1"/>
    </xf>
    <xf numFmtId="0" fontId="0" fillId="29" borderId="0" xfId="0" applyFill="1"/>
    <xf numFmtId="0" fontId="0" fillId="29" borderId="0" xfId="0" applyFill="1" applyAlignment="1">
      <alignment horizontal="left"/>
    </xf>
    <xf numFmtId="0" fontId="0" fillId="29" borderId="0" xfId="0" applyFill="1" applyAlignment="1">
      <alignment wrapText="1"/>
    </xf>
    <xf numFmtId="0" fontId="0" fillId="6" borderId="0" xfId="0" applyFill="1" applyAlignment="1">
      <alignment wrapText="1"/>
    </xf>
    <xf numFmtId="0" fontId="0" fillId="5" borderId="0" xfId="0" applyFill="1" applyAlignment="1">
      <alignment horizontal="left"/>
    </xf>
    <xf numFmtId="0" fontId="0" fillId="5" borderId="0" xfId="0" applyFill="1" applyAlignment="1">
      <alignment wrapText="1"/>
    </xf>
    <xf numFmtId="0" fontId="0" fillId="13" borderId="0" xfId="0" applyFill="1" applyAlignment="1">
      <alignment wrapText="1"/>
    </xf>
    <xf numFmtId="0" fontId="0" fillId="30" borderId="0" xfId="0" applyFill="1"/>
    <xf numFmtId="0" fontId="0" fillId="30" borderId="0" xfId="0" applyFill="1" applyAlignment="1">
      <alignment horizontal="left"/>
    </xf>
    <xf numFmtId="0" fontId="0" fillId="9" borderId="0" xfId="0" applyFill="1" applyAlignment="1">
      <alignment wrapText="1"/>
    </xf>
    <xf numFmtId="0" fontId="0" fillId="9" borderId="0" xfId="0" applyFill="1" applyAlignment="1">
      <alignment horizontal="left" wrapText="1"/>
    </xf>
    <xf numFmtId="0" fontId="0" fillId="4" borderId="0" xfId="0" applyFill="1"/>
    <xf numFmtId="0" fontId="0" fillId="4" borderId="0" xfId="0" applyFill="1" applyAlignment="1">
      <alignment horizontal="left"/>
    </xf>
    <xf numFmtId="0" fontId="0" fillId="18" borderId="0" xfId="0" applyFill="1" applyAlignment="1">
      <alignment horizontal="left"/>
    </xf>
    <xf numFmtId="0" fontId="0" fillId="7" borderId="0" xfId="0" applyFill="1" applyAlignment="1">
      <alignment horizontal="left"/>
    </xf>
    <xf numFmtId="0" fontId="0" fillId="4" borderId="0" xfId="0" applyFill="1" applyAlignment="1">
      <alignment wrapText="1"/>
    </xf>
    <xf numFmtId="17" fontId="0" fillId="4" borderId="0" xfId="0" applyNumberFormat="1" applyFill="1"/>
    <xf numFmtId="0" fontId="0" fillId="31" borderId="0" xfId="0" applyFill="1"/>
    <xf numFmtId="0" fontId="0" fillId="31" borderId="0" xfId="0" applyFill="1" applyAlignment="1">
      <alignment horizontal="left"/>
    </xf>
    <xf numFmtId="0" fontId="0" fillId="31" borderId="0" xfId="0" applyFill="1" applyAlignment="1">
      <alignment horizontal="left" wrapText="1"/>
    </xf>
    <xf numFmtId="0" fontId="0" fillId="32" borderId="0" xfId="0" applyFill="1"/>
    <xf numFmtId="0" fontId="0" fillId="32" borderId="0" xfId="0" applyFill="1" applyAlignment="1">
      <alignment horizontal="left"/>
    </xf>
    <xf numFmtId="0" fontId="0" fillId="33" borderId="0" xfId="0" applyFill="1"/>
    <xf numFmtId="0" fontId="0" fillId="33" borderId="0" xfId="0" applyFill="1" applyAlignment="1">
      <alignment horizontal="left"/>
    </xf>
    <xf numFmtId="0" fontId="0" fillId="33" borderId="0" xfId="0" applyFill="1" applyAlignment="1">
      <alignment wrapText="1"/>
    </xf>
    <xf numFmtId="16" fontId="0" fillId="33" borderId="0" xfId="0" applyNumberFormat="1" applyFill="1"/>
    <xf numFmtId="0" fontId="0" fillId="34" borderId="0" xfId="0" applyFill="1"/>
    <xf numFmtId="0" fontId="0" fillId="34" borderId="0" xfId="0" applyFill="1" applyAlignment="1">
      <alignment horizontal="left"/>
    </xf>
    <xf numFmtId="0" fontId="0" fillId="20" borderId="0" xfId="0" applyFill="1" applyAlignment="1">
      <alignment horizontal="left"/>
    </xf>
    <xf numFmtId="0" fontId="0" fillId="20" borderId="0" xfId="0" applyFill="1" applyAlignment="1">
      <alignment vertical="top"/>
    </xf>
    <xf numFmtId="0" fontId="0" fillId="35" borderId="0" xfId="0" applyFill="1"/>
    <xf numFmtId="0" fontId="0" fillId="35" borderId="0" xfId="0" applyFill="1" applyAlignment="1">
      <alignment horizontal="left"/>
    </xf>
    <xf numFmtId="0" fontId="9" fillId="0" borderId="1" xfId="0" applyFont="1" applyBorder="1" applyAlignment="1">
      <alignment horizontal="center" wrapText="1"/>
    </xf>
    <xf numFmtId="0" fontId="10" fillId="8" borderId="1" xfId="0" applyFont="1" applyFill="1" applyBorder="1" applyAlignment="1">
      <alignment horizontal="center" vertical="center" wrapText="1"/>
    </xf>
    <xf numFmtId="0" fontId="10" fillId="8" borderId="1" xfId="0" applyFont="1" applyFill="1" applyBorder="1" applyAlignment="1">
      <alignment wrapText="1"/>
    </xf>
    <xf numFmtId="0" fontId="11" fillId="0" borderId="1" xfId="1" applyFont="1" applyBorder="1" applyAlignment="1">
      <alignment horizontal="center" vertical="center" wrapText="1"/>
    </xf>
    <xf numFmtId="0" fontId="9" fillId="0" borderId="1" xfId="0" applyFont="1" applyBorder="1" applyAlignment="1">
      <alignment horizontal="justify" vertical="center" wrapText="1"/>
    </xf>
    <xf numFmtId="0" fontId="9" fillId="0" borderId="1" xfId="0" applyFont="1" applyBorder="1" applyAlignment="1">
      <alignment horizontal="center"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horizontal="center" vertical="center" wrapText="1"/>
    </xf>
    <xf numFmtId="0" fontId="5" fillId="0" borderId="8" xfId="0" applyFont="1" applyFill="1" applyBorder="1" applyAlignment="1">
      <alignment horizontal="justify" vertical="center" wrapText="1"/>
    </xf>
    <xf numFmtId="0" fontId="5" fillId="0" borderId="8" xfId="0" applyFont="1" applyFill="1" applyBorder="1" applyAlignment="1">
      <alignment horizontal="center" vertical="center" wrapText="1"/>
    </xf>
    <xf numFmtId="0" fontId="11" fillId="0" borderId="8" xfId="1" applyFont="1" applyFill="1" applyBorder="1" applyAlignment="1">
      <alignment horizontal="center" vertical="center" wrapText="1"/>
    </xf>
    <xf numFmtId="0" fontId="5" fillId="0" borderId="8" xfId="0" applyFont="1" applyBorder="1" applyAlignment="1">
      <alignment horizontal="justify" vertical="center" wrapText="1"/>
    </xf>
    <xf numFmtId="0" fontId="5" fillId="0" borderId="8" xfId="0" applyFont="1" applyBorder="1" applyAlignment="1">
      <alignment horizontal="center" vertical="center" wrapText="1"/>
    </xf>
    <xf numFmtId="0" fontId="11" fillId="0" borderId="8" xfId="1" applyFont="1" applyBorder="1" applyAlignment="1">
      <alignment horizontal="center" vertical="center" wrapText="1"/>
    </xf>
    <xf numFmtId="0" fontId="0" fillId="0" borderId="3" xfId="0" applyFont="1" applyFill="1" applyBorder="1" applyAlignment="1">
      <alignment horizontal="justify" wrapText="1"/>
    </xf>
    <xf numFmtId="0" fontId="5" fillId="0" borderId="3" xfId="0" applyFont="1" applyBorder="1" applyAlignment="1">
      <alignment horizontal="center" wrapText="1"/>
    </xf>
    <xf numFmtId="0" fontId="9" fillId="0" borderId="3" xfId="0" applyFont="1" applyBorder="1" applyAlignment="1">
      <alignment horizontal="center" wrapText="1"/>
    </xf>
    <xf numFmtId="0" fontId="5" fillId="0" borderId="3" xfId="0" applyFont="1" applyBorder="1" applyAlignment="1">
      <alignment horizontal="justify" wrapText="1"/>
    </xf>
    <xf numFmtId="0" fontId="11" fillId="0" borderId="3" xfId="1" applyFont="1" applyBorder="1" applyAlignment="1">
      <alignment horizontal="center" wrapText="1"/>
    </xf>
    <xf numFmtId="0" fontId="0" fillId="0" borderId="1" xfId="0" applyFont="1" applyBorder="1"/>
    <xf numFmtId="0" fontId="0" fillId="0" borderId="1" xfId="0" applyFont="1" applyBorder="1" applyAlignment="1">
      <alignment horizontal="center"/>
    </xf>
    <xf numFmtId="0" fontId="1" fillId="8" borderId="2" xfId="0" applyFont="1" applyFill="1" applyBorder="1" applyAlignment="1">
      <alignment horizontal="center"/>
    </xf>
    <xf numFmtId="0" fontId="6" fillId="0" borderId="4" xfId="0" applyFont="1" applyFill="1" applyBorder="1" applyAlignment="1">
      <alignment horizontal="center"/>
    </xf>
    <xf numFmtId="0" fontId="0" fillId="0" borderId="4" xfId="0" applyFill="1" applyBorder="1" applyAlignment="1">
      <alignment horizontal="center" wrapText="1"/>
    </xf>
    <xf numFmtId="0" fontId="0" fillId="0" borderId="2" xfId="0" applyBorder="1" applyAlignment="1">
      <alignment horizontal="center" wrapText="1"/>
    </xf>
    <xf numFmtId="0" fontId="6" fillId="0" borderId="6" xfId="0" applyFont="1" applyFill="1" applyBorder="1" applyAlignment="1">
      <alignment horizontal="center"/>
    </xf>
    <xf numFmtId="0" fontId="0" fillId="0" borderId="1" xfId="0" applyFont="1" applyBorder="1" applyAlignment="1">
      <alignment horizontal="justify" vertical="center"/>
    </xf>
    <xf numFmtId="0" fontId="0" fillId="8" borderId="1" xfId="0" applyFont="1" applyFill="1" applyBorder="1" applyAlignment="1">
      <alignment horizontal="justify" vertical="center" wrapText="1"/>
    </xf>
    <xf numFmtId="0" fontId="0" fillId="8" borderId="5" xfId="0" applyFont="1" applyFill="1" applyBorder="1" applyAlignment="1">
      <alignment horizontal="center" wrapText="1"/>
    </xf>
    <xf numFmtId="0" fontId="12" fillId="8" borderId="1" xfId="0" applyFont="1" applyFill="1" applyBorder="1" applyAlignment="1">
      <alignment wrapText="1"/>
    </xf>
    <xf numFmtId="0" fontId="13" fillId="0" borderId="1" xfId="0" applyFont="1" applyFill="1" applyBorder="1" applyAlignment="1">
      <alignment wrapText="1"/>
    </xf>
    <xf numFmtId="0" fontId="0" fillId="0" borderId="1" xfId="0" applyFont="1" applyBorder="1" applyAlignment="1">
      <alignment horizontal="center" wrapText="1"/>
    </xf>
    <xf numFmtId="0" fontId="0" fillId="0" borderId="4" xfId="0" applyFont="1" applyFill="1" applyBorder="1" applyAlignment="1">
      <alignment horizontal="center" wrapText="1"/>
    </xf>
    <xf numFmtId="0" fontId="12" fillId="0" borderId="4" xfId="0" applyFont="1" applyFill="1" applyBorder="1" applyAlignment="1">
      <alignment horizontal="center"/>
    </xf>
    <xf numFmtId="0" fontId="0" fillId="0" borderId="0" xfId="0" applyAlignment="1"/>
    <xf numFmtId="0" fontId="4" fillId="0" borderId="1" xfId="0" applyFont="1" applyFill="1" applyBorder="1" applyAlignment="1">
      <alignment wrapText="1"/>
    </xf>
    <xf numFmtId="0" fontId="4" fillId="0" borderId="1" xfId="0" applyFont="1" applyFill="1" applyBorder="1" applyAlignment="1">
      <alignment horizontal="left" wrapText="1"/>
    </xf>
    <xf numFmtId="17" fontId="4" fillId="0" borderId="1" xfId="0" applyNumberFormat="1" applyFont="1" applyFill="1" applyBorder="1" applyAlignment="1">
      <alignment wrapText="1"/>
    </xf>
    <xf numFmtId="16" fontId="4" fillId="0" borderId="1" xfId="0" applyNumberFormat="1" applyFont="1" applyFill="1" applyBorder="1" applyAlignment="1">
      <alignment wrapText="1"/>
    </xf>
    <xf numFmtId="0" fontId="14" fillId="8" borderId="1" xfId="0" applyFont="1" applyFill="1" applyBorder="1" applyAlignment="1" applyProtection="1">
      <alignment horizontal="left" vertical="center" wrapText="1"/>
    </xf>
    <xf numFmtId="0" fontId="15" fillId="0" borderId="1" xfId="0" applyFont="1" applyBorder="1" applyAlignment="1" applyProtection="1">
      <alignment wrapText="1"/>
    </xf>
    <xf numFmtId="0" fontId="2" fillId="12" borderId="1" xfId="0" applyFont="1" applyFill="1" applyBorder="1" applyAlignment="1" applyProtection="1">
      <alignment wrapText="1"/>
    </xf>
    <xf numFmtId="0" fontId="2" fillId="0" borderId="1" xfId="0" applyFont="1" applyBorder="1" applyAlignment="1" applyProtection="1">
      <alignment wrapText="1"/>
    </xf>
    <xf numFmtId="0" fontId="14" fillId="0" borderId="1" xfId="0" applyFont="1" applyBorder="1" applyAlignment="1" applyProtection="1">
      <alignment wrapText="1"/>
    </xf>
    <xf numFmtId="0" fontId="2" fillId="0" borderId="0" xfId="0" applyFont="1" applyFill="1" applyProtection="1"/>
    <xf numFmtId="0" fontId="3" fillId="8" borderId="1" xfId="0" applyFont="1" applyFill="1" applyBorder="1" applyAlignment="1">
      <alignment horizontal="center" vertical="center" textRotation="90" wrapText="1"/>
    </xf>
    <xf numFmtId="0" fontId="3" fillId="8" borderId="1" xfId="0" applyFont="1" applyFill="1" applyBorder="1" applyAlignment="1">
      <alignment horizontal="center" vertical="center" wrapText="1"/>
    </xf>
    <xf numFmtId="0" fontId="1" fillId="0" borderId="0" xfId="0" applyFont="1" applyFill="1" applyAlignment="1">
      <alignment horizontal="left"/>
    </xf>
    <xf numFmtId="0" fontId="1" fillId="0" borderId="0" xfId="0" applyFont="1" applyFill="1"/>
    <xf numFmtId="0" fontId="1" fillId="0" borderId="0" xfId="0" applyFont="1" applyFill="1" applyAlignment="1">
      <alignment horizontal="left" textRotation="90"/>
    </xf>
    <xf numFmtId="0" fontId="0" fillId="0" borderId="0" xfId="0" applyFill="1" applyAlignment="1">
      <alignment horizontal="left"/>
    </xf>
    <xf numFmtId="0" fontId="0" fillId="0" borderId="0" xfId="0" applyFill="1"/>
    <xf numFmtId="0" fontId="0" fillId="0" borderId="0" xfId="0" applyFill="1" applyAlignment="1">
      <alignment wrapText="1"/>
    </xf>
    <xf numFmtId="0" fontId="0" fillId="0" borderId="0" xfId="0" applyFill="1" applyAlignment="1">
      <alignment horizontal="left" wrapText="1"/>
    </xf>
    <xf numFmtId="0" fontId="0" fillId="0" borderId="9" xfId="0" applyFill="1" applyBorder="1"/>
    <xf numFmtId="0" fontId="0" fillId="0" borderId="9" xfId="0" applyFill="1" applyBorder="1" applyAlignment="1">
      <alignment horizontal="left"/>
    </xf>
    <xf numFmtId="0" fontId="0" fillId="15" borderId="9" xfId="0" applyFill="1" applyBorder="1"/>
    <xf numFmtId="0" fontId="0" fillId="22" borderId="9" xfId="0" applyFill="1" applyBorder="1"/>
    <xf numFmtId="0" fontId="0" fillId="21" borderId="9" xfId="0" applyFill="1" applyBorder="1"/>
    <xf numFmtId="0" fontId="0" fillId="0" borderId="9" xfId="0" applyFill="1" applyBorder="1" applyAlignment="1">
      <alignment horizontal="left" vertical="top"/>
    </xf>
    <xf numFmtId="0" fontId="0" fillId="2" borderId="9" xfId="0" applyFill="1" applyBorder="1"/>
    <xf numFmtId="0" fontId="0" fillId="3" borderId="9" xfId="0" applyFill="1" applyBorder="1"/>
    <xf numFmtId="0" fontId="0" fillId="27" borderId="9" xfId="0" applyFill="1" applyBorder="1"/>
    <xf numFmtId="0" fontId="0" fillId="11" borderId="9" xfId="0" applyFill="1" applyBorder="1"/>
    <xf numFmtId="0" fontId="0" fillId="29" borderId="9" xfId="0" applyFill="1" applyBorder="1"/>
    <xf numFmtId="0" fontId="0" fillId="6" borderId="9" xfId="0" applyFill="1" applyBorder="1"/>
    <xf numFmtId="0" fontId="1" fillId="0" borderId="0" xfId="0" applyFont="1" applyFill="1" applyBorder="1" applyAlignment="1">
      <alignment horizontal="left" vertical="top"/>
    </xf>
    <xf numFmtId="0" fontId="0" fillId="0" borderId="0" xfId="0" applyFill="1" applyBorder="1" applyAlignment="1">
      <alignment horizontal="left" vertical="top"/>
    </xf>
    <xf numFmtId="0" fontId="0" fillId="0" borderId="0" xfId="0" applyBorder="1" applyAlignment="1">
      <alignment horizontal="left" vertical="top"/>
    </xf>
    <xf numFmtId="0" fontId="0" fillId="13" borderId="9" xfId="0" applyFill="1" applyBorder="1"/>
    <xf numFmtId="0" fontId="0" fillId="10" borderId="9" xfId="0" applyFill="1" applyBorder="1"/>
    <xf numFmtId="0" fontId="0" fillId="30" borderId="9" xfId="0" applyFill="1" applyBorder="1"/>
    <xf numFmtId="0" fontId="0" fillId="9" borderId="9" xfId="0" applyFill="1" applyBorder="1"/>
    <xf numFmtId="0" fontId="0" fillId="26" borderId="9" xfId="0" applyFill="1" applyBorder="1"/>
    <xf numFmtId="0" fontId="0" fillId="24" borderId="9" xfId="0" applyFill="1" applyBorder="1"/>
    <xf numFmtId="0" fontId="0" fillId="18" borderId="9" xfId="0" applyFill="1" applyBorder="1"/>
    <xf numFmtId="0" fontId="0" fillId="7" borderId="9" xfId="0" applyFill="1" applyBorder="1"/>
    <xf numFmtId="0" fontId="0" fillId="23" borderId="9" xfId="0" applyFill="1" applyBorder="1"/>
    <xf numFmtId="0" fontId="17" fillId="21" borderId="0" xfId="0" applyFont="1" applyFill="1" applyAlignment="1">
      <alignment horizontal="left"/>
    </xf>
    <xf numFmtId="0" fontId="0" fillId="0" borderId="0" xfId="0" applyFill="1" applyBorder="1" applyAlignment="1">
      <alignment horizontal="left" vertical="top"/>
    </xf>
    <xf numFmtId="0" fontId="0" fillId="0" borderId="10" xfId="0" applyFill="1" applyBorder="1" applyAlignment="1">
      <alignment horizontal="left" vertical="top"/>
    </xf>
    <xf numFmtId="0" fontId="0" fillId="0" borderId="9" xfId="0" applyFill="1" applyBorder="1" applyAlignment="1">
      <alignment horizontal="left" vertical="top"/>
    </xf>
  </cellXfs>
  <cellStyles count="2">
    <cellStyle name="Hyperlink" xfId="1" builtinId="8"/>
    <cellStyle name="Normal" xfId="0" builtinId="0"/>
  </cellStyles>
  <dxfs count="0"/>
  <tableStyles count="0" defaultTableStyle="TableStyleMedium2" defaultPivotStyle="PivotStyleLight16"/>
  <colors>
    <mruColors>
      <color rgb="FFA2C2E8"/>
      <color rgb="FFD1F20E"/>
      <color rgb="FFE4FA12"/>
      <color rgb="FFEFFB53"/>
      <color rgb="FFFFFEAC"/>
      <color rgb="FFF0F2D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268"/>
  <sheetViews>
    <sheetView tabSelected="1" zoomScaleNormal="100" workbookViewId="0">
      <selection activeCell="I2" sqref="I2"/>
    </sheetView>
  </sheetViews>
  <sheetFormatPr defaultColWidth="8.85546875" defaultRowHeight="12.75" x14ac:dyDescent="0.2"/>
  <cols>
    <col min="1" max="1" width="19.42578125" style="22" customWidth="1"/>
    <col min="2" max="2" width="15.7109375" style="22" customWidth="1"/>
    <col min="3" max="3" width="13" style="22" customWidth="1"/>
    <col min="4" max="8" width="5" style="23" customWidth="1"/>
    <col min="9" max="9" width="7.7109375" style="23" customWidth="1"/>
    <col min="10" max="10" width="14.28515625" style="23" customWidth="1"/>
    <col min="11" max="11" width="35.28515625" style="23" customWidth="1"/>
    <col min="12" max="16384" width="8.85546875" style="19"/>
  </cols>
  <sheetData>
    <row r="1" spans="1:11" ht="73.150000000000006" customHeight="1" x14ac:dyDescent="0.2">
      <c r="A1" s="169" t="s">
        <v>10</v>
      </c>
      <c r="B1" s="169" t="s">
        <v>0</v>
      </c>
      <c r="C1" s="169" t="s">
        <v>1</v>
      </c>
      <c r="D1" s="168" t="s">
        <v>2</v>
      </c>
      <c r="E1" s="168" t="s">
        <v>3</v>
      </c>
      <c r="F1" s="168" t="s">
        <v>4</v>
      </c>
      <c r="G1" s="168" t="s">
        <v>5</v>
      </c>
      <c r="H1" s="168" t="s">
        <v>6</v>
      </c>
      <c r="I1" s="168" t="s">
        <v>7</v>
      </c>
      <c r="J1" s="169" t="s">
        <v>8</v>
      </c>
      <c r="K1" s="169" t="s">
        <v>9</v>
      </c>
    </row>
    <row r="2" spans="1:11" s="20" customFormat="1" ht="74.45" customHeight="1" x14ac:dyDescent="0.2">
      <c r="A2" s="158" t="s">
        <v>31</v>
      </c>
      <c r="B2" s="158" t="s">
        <v>11</v>
      </c>
      <c r="C2" s="158" t="s">
        <v>12</v>
      </c>
      <c r="D2" s="159" t="s">
        <v>13</v>
      </c>
      <c r="E2" s="159" t="s">
        <v>14</v>
      </c>
      <c r="F2" s="159" t="s">
        <v>14</v>
      </c>
      <c r="G2" s="159" t="s">
        <v>14</v>
      </c>
      <c r="H2" s="159" t="s">
        <v>14</v>
      </c>
      <c r="I2" s="159" t="s">
        <v>15</v>
      </c>
      <c r="J2" s="159" t="s">
        <v>16</v>
      </c>
      <c r="K2" s="159" t="s">
        <v>17</v>
      </c>
    </row>
    <row r="3" spans="1:11" s="20" customFormat="1" ht="77.45" customHeight="1" x14ac:dyDescent="0.2">
      <c r="A3" s="158" t="s">
        <v>31</v>
      </c>
      <c r="B3" s="158" t="s">
        <v>18</v>
      </c>
      <c r="C3" s="158" t="s">
        <v>12</v>
      </c>
      <c r="D3" s="159" t="s">
        <v>13</v>
      </c>
      <c r="E3" s="159" t="s">
        <v>14</v>
      </c>
      <c r="F3" s="159" t="s">
        <v>14</v>
      </c>
      <c r="G3" s="159" t="s">
        <v>14</v>
      </c>
      <c r="H3" s="159" t="s">
        <v>14</v>
      </c>
      <c r="I3" s="159" t="s">
        <v>15</v>
      </c>
      <c r="J3" s="159" t="s">
        <v>16</v>
      </c>
      <c r="K3" s="159" t="s">
        <v>19</v>
      </c>
    </row>
    <row r="4" spans="1:11" s="20" customFormat="1" ht="78.599999999999994" customHeight="1" x14ac:dyDescent="0.2">
      <c r="A4" s="158" t="s">
        <v>31</v>
      </c>
      <c r="B4" s="158" t="s">
        <v>20</v>
      </c>
      <c r="C4" s="158" t="s">
        <v>12</v>
      </c>
      <c r="D4" s="159" t="s">
        <v>13</v>
      </c>
      <c r="E4" s="159" t="s">
        <v>14</v>
      </c>
      <c r="F4" s="159" t="s">
        <v>14</v>
      </c>
      <c r="G4" s="159" t="s">
        <v>14</v>
      </c>
      <c r="H4" s="159" t="s">
        <v>14</v>
      </c>
      <c r="I4" s="159" t="s">
        <v>15</v>
      </c>
      <c r="J4" s="159" t="s">
        <v>16</v>
      </c>
      <c r="K4" s="159" t="s">
        <v>21</v>
      </c>
    </row>
    <row r="5" spans="1:11" s="20" customFormat="1" ht="90" x14ac:dyDescent="0.2">
      <c r="A5" s="158" t="s">
        <v>31</v>
      </c>
      <c r="B5" s="158" t="s">
        <v>22</v>
      </c>
      <c r="C5" s="158" t="s">
        <v>12</v>
      </c>
      <c r="D5" s="159" t="s">
        <v>13</v>
      </c>
      <c r="E5" s="159" t="s">
        <v>14</v>
      </c>
      <c r="F5" s="159" t="s">
        <v>14</v>
      </c>
      <c r="G5" s="159" t="s">
        <v>14</v>
      </c>
      <c r="H5" s="159" t="s">
        <v>14</v>
      </c>
      <c r="I5" s="159" t="s">
        <v>15</v>
      </c>
      <c r="J5" s="159" t="s">
        <v>16</v>
      </c>
      <c r="K5" s="159" t="s">
        <v>23</v>
      </c>
    </row>
    <row r="6" spans="1:11" s="20" customFormat="1" ht="90" x14ac:dyDescent="0.2">
      <c r="A6" s="158" t="s">
        <v>31</v>
      </c>
      <c r="B6" s="158" t="s">
        <v>24</v>
      </c>
      <c r="C6" s="158" t="s">
        <v>12</v>
      </c>
      <c r="D6" s="159" t="s">
        <v>13</v>
      </c>
      <c r="E6" s="159" t="s">
        <v>14</v>
      </c>
      <c r="F6" s="159" t="s">
        <v>14</v>
      </c>
      <c r="G6" s="159" t="s">
        <v>14</v>
      </c>
      <c r="H6" s="159" t="s">
        <v>14</v>
      </c>
      <c r="I6" s="159" t="s">
        <v>15</v>
      </c>
      <c r="J6" s="159" t="s">
        <v>16</v>
      </c>
      <c r="K6" s="159" t="s">
        <v>25</v>
      </c>
    </row>
    <row r="7" spans="1:11" s="20" customFormat="1" ht="67.900000000000006" customHeight="1" x14ac:dyDescent="0.2">
      <c r="A7" s="158" t="s">
        <v>31</v>
      </c>
      <c r="B7" s="158" t="s">
        <v>26</v>
      </c>
      <c r="C7" s="158" t="s">
        <v>12</v>
      </c>
      <c r="D7" s="159" t="s">
        <v>13</v>
      </c>
      <c r="E7" s="159" t="s">
        <v>14</v>
      </c>
      <c r="F7" s="159" t="s">
        <v>14</v>
      </c>
      <c r="G7" s="159" t="s">
        <v>14</v>
      </c>
      <c r="H7" s="159" t="s">
        <v>14</v>
      </c>
      <c r="I7" s="159" t="s">
        <v>15</v>
      </c>
      <c r="J7" s="159" t="s">
        <v>27</v>
      </c>
      <c r="K7" s="159" t="s">
        <v>28</v>
      </c>
    </row>
    <row r="8" spans="1:11" s="20" customFormat="1" ht="78.599999999999994" customHeight="1" x14ac:dyDescent="0.2">
      <c r="A8" s="158" t="s">
        <v>31</v>
      </c>
      <c r="B8" s="158" t="s">
        <v>29</v>
      </c>
      <c r="C8" s="158" t="s">
        <v>12</v>
      </c>
      <c r="D8" s="159" t="s">
        <v>13</v>
      </c>
      <c r="E8" s="159" t="s">
        <v>14</v>
      </c>
      <c r="F8" s="159" t="s">
        <v>13</v>
      </c>
      <c r="G8" s="159" t="s">
        <v>13</v>
      </c>
      <c r="H8" s="159" t="s">
        <v>14</v>
      </c>
      <c r="I8" s="159" t="s">
        <v>15</v>
      </c>
      <c r="J8" s="159" t="s">
        <v>16</v>
      </c>
      <c r="K8" s="159" t="s">
        <v>30</v>
      </c>
    </row>
    <row r="9" spans="1:11" s="20" customFormat="1" ht="270" x14ac:dyDescent="0.2">
      <c r="A9" s="158" t="s">
        <v>32</v>
      </c>
      <c r="B9" s="158" t="s">
        <v>33</v>
      </c>
      <c r="C9" s="158" t="s">
        <v>187</v>
      </c>
      <c r="D9" s="159" t="s">
        <v>13</v>
      </c>
      <c r="E9" s="159" t="s">
        <v>14</v>
      </c>
      <c r="F9" s="159" t="s">
        <v>14</v>
      </c>
      <c r="G9" s="159" t="s">
        <v>14</v>
      </c>
      <c r="H9" s="159" t="s">
        <v>14</v>
      </c>
      <c r="I9" s="159" t="s">
        <v>15</v>
      </c>
      <c r="J9" s="159" t="s">
        <v>36</v>
      </c>
      <c r="K9" s="159" t="s">
        <v>37</v>
      </c>
    </row>
    <row r="10" spans="1:11" s="20" customFormat="1" ht="78.75" x14ac:dyDescent="0.2">
      <c r="A10" s="158" t="s">
        <v>58</v>
      </c>
      <c r="B10" s="158" t="s">
        <v>38</v>
      </c>
      <c r="C10" s="158" t="s">
        <v>39</v>
      </c>
      <c r="D10" s="159" t="s">
        <v>14</v>
      </c>
      <c r="E10" s="159" t="s">
        <v>14</v>
      </c>
      <c r="F10" s="159" t="s">
        <v>14</v>
      </c>
      <c r="G10" s="159" t="s">
        <v>14</v>
      </c>
      <c r="H10" s="159" t="s">
        <v>14</v>
      </c>
      <c r="I10" s="159" t="s">
        <v>40</v>
      </c>
      <c r="J10" s="159" t="s">
        <v>41</v>
      </c>
      <c r="K10" s="159" t="s">
        <v>654</v>
      </c>
    </row>
    <row r="11" spans="1:11" s="20" customFormat="1" ht="78.75" x14ac:dyDescent="0.2">
      <c r="A11" s="158" t="s">
        <v>58</v>
      </c>
      <c r="B11" s="158" t="s">
        <v>42</v>
      </c>
      <c r="C11" s="158" t="s">
        <v>39</v>
      </c>
      <c r="D11" s="159" t="s">
        <v>14</v>
      </c>
      <c r="E11" s="159" t="s">
        <v>14</v>
      </c>
      <c r="F11" s="159" t="s">
        <v>43</v>
      </c>
      <c r="G11" s="159" t="s">
        <v>43</v>
      </c>
      <c r="H11" s="159" t="s">
        <v>43</v>
      </c>
      <c r="I11" s="159" t="s">
        <v>40</v>
      </c>
      <c r="J11" s="159" t="s">
        <v>44</v>
      </c>
      <c r="K11" s="159" t="s">
        <v>654</v>
      </c>
    </row>
    <row r="12" spans="1:11" s="20" customFormat="1" ht="35.450000000000003" customHeight="1" x14ac:dyDescent="0.2">
      <c r="A12" s="158" t="s">
        <v>58</v>
      </c>
      <c r="B12" s="158" t="s">
        <v>45</v>
      </c>
      <c r="C12" s="158" t="s">
        <v>372</v>
      </c>
      <c r="D12" s="159" t="s">
        <v>43</v>
      </c>
      <c r="E12" s="159" t="s">
        <v>14</v>
      </c>
      <c r="F12" s="159" t="s">
        <v>43</v>
      </c>
      <c r="G12" s="159" t="s">
        <v>43</v>
      </c>
      <c r="H12" s="159" t="s">
        <v>43</v>
      </c>
      <c r="I12" s="159" t="s">
        <v>40</v>
      </c>
      <c r="J12" s="159" t="s">
        <v>46</v>
      </c>
      <c r="K12" s="159" t="s">
        <v>654</v>
      </c>
    </row>
    <row r="13" spans="1:11" s="20" customFormat="1" ht="78.75" x14ac:dyDescent="0.2">
      <c r="A13" s="158" t="s">
        <v>58</v>
      </c>
      <c r="B13" s="158" t="s">
        <v>47</v>
      </c>
      <c r="C13" s="158" t="s">
        <v>39</v>
      </c>
      <c r="D13" s="159" t="s">
        <v>43</v>
      </c>
      <c r="E13" s="159" t="s">
        <v>14</v>
      </c>
      <c r="F13" s="159" t="s">
        <v>43</v>
      </c>
      <c r="G13" s="159" t="s">
        <v>43</v>
      </c>
      <c r="H13" s="159" t="s">
        <v>43</v>
      </c>
      <c r="I13" s="159" t="s">
        <v>40</v>
      </c>
      <c r="J13" s="159" t="s">
        <v>48</v>
      </c>
      <c r="K13" s="159" t="s">
        <v>654</v>
      </c>
    </row>
    <row r="14" spans="1:11" s="20" customFormat="1" ht="78.75" x14ac:dyDescent="0.2">
      <c r="A14" s="158" t="s">
        <v>58</v>
      </c>
      <c r="B14" s="158" t="s">
        <v>655</v>
      </c>
      <c r="C14" s="158" t="s">
        <v>39</v>
      </c>
      <c r="D14" s="159" t="s">
        <v>43</v>
      </c>
      <c r="E14" s="159" t="s">
        <v>14</v>
      </c>
      <c r="F14" s="159" t="s">
        <v>43</v>
      </c>
      <c r="G14" s="159" t="s">
        <v>43</v>
      </c>
      <c r="H14" s="159" t="s">
        <v>43</v>
      </c>
      <c r="I14" s="159" t="s">
        <v>40</v>
      </c>
      <c r="J14" s="159" t="s">
        <v>49</v>
      </c>
      <c r="K14" s="159" t="s">
        <v>654</v>
      </c>
    </row>
    <row r="15" spans="1:11" s="20" customFormat="1" ht="78.75" x14ac:dyDescent="0.2">
      <c r="A15" s="158" t="s">
        <v>58</v>
      </c>
      <c r="B15" s="158" t="s">
        <v>50</v>
      </c>
      <c r="C15" s="158" t="s">
        <v>39</v>
      </c>
      <c r="D15" s="159" t="s">
        <v>43</v>
      </c>
      <c r="E15" s="159" t="s">
        <v>14</v>
      </c>
      <c r="F15" s="159" t="s">
        <v>43</v>
      </c>
      <c r="G15" s="159" t="s">
        <v>43</v>
      </c>
      <c r="H15" s="159" t="s">
        <v>43</v>
      </c>
      <c r="I15" s="159" t="s">
        <v>40</v>
      </c>
      <c r="J15" s="159" t="s">
        <v>51</v>
      </c>
      <c r="K15" s="159" t="s">
        <v>654</v>
      </c>
    </row>
    <row r="16" spans="1:11" s="20" customFormat="1" ht="78.75" x14ac:dyDescent="0.2">
      <c r="A16" s="158" t="s">
        <v>58</v>
      </c>
      <c r="B16" s="158" t="s">
        <v>52</v>
      </c>
      <c r="C16" s="158" t="s">
        <v>39</v>
      </c>
      <c r="D16" s="159" t="s">
        <v>43</v>
      </c>
      <c r="E16" s="159" t="s">
        <v>14</v>
      </c>
      <c r="F16" s="159" t="s">
        <v>43</v>
      </c>
      <c r="G16" s="159" t="s">
        <v>43</v>
      </c>
      <c r="H16" s="159" t="s">
        <v>43</v>
      </c>
      <c r="I16" s="159" t="s">
        <v>40</v>
      </c>
      <c r="J16" s="159" t="s">
        <v>53</v>
      </c>
      <c r="K16" s="159" t="s">
        <v>654</v>
      </c>
    </row>
    <row r="17" spans="1:11" s="20" customFormat="1" ht="78.75" x14ac:dyDescent="0.2">
      <c r="A17" s="158" t="s">
        <v>58</v>
      </c>
      <c r="B17" s="158" t="s">
        <v>54</v>
      </c>
      <c r="C17" s="158" t="s">
        <v>39</v>
      </c>
      <c r="D17" s="159" t="s">
        <v>43</v>
      </c>
      <c r="E17" s="159" t="s">
        <v>14</v>
      </c>
      <c r="F17" s="159" t="s">
        <v>43</v>
      </c>
      <c r="G17" s="159" t="s">
        <v>43</v>
      </c>
      <c r="H17" s="159" t="s">
        <v>43</v>
      </c>
      <c r="I17" s="159" t="s">
        <v>40</v>
      </c>
      <c r="J17" s="159" t="s">
        <v>51</v>
      </c>
      <c r="K17" s="159" t="s">
        <v>654</v>
      </c>
    </row>
    <row r="18" spans="1:11" s="20" customFormat="1" ht="78.75" x14ac:dyDescent="0.2">
      <c r="A18" s="158" t="s">
        <v>58</v>
      </c>
      <c r="B18" s="158" t="s">
        <v>55</v>
      </c>
      <c r="C18" s="158" t="s">
        <v>39</v>
      </c>
      <c r="D18" s="159" t="s">
        <v>43</v>
      </c>
      <c r="E18" s="159" t="s">
        <v>43</v>
      </c>
      <c r="F18" s="159" t="s">
        <v>43</v>
      </c>
      <c r="G18" s="159" t="s">
        <v>43</v>
      </c>
      <c r="H18" s="159" t="s">
        <v>43</v>
      </c>
      <c r="I18" s="159" t="s">
        <v>40</v>
      </c>
      <c r="J18" s="159" t="s">
        <v>57</v>
      </c>
      <c r="K18" s="159" t="s">
        <v>654</v>
      </c>
    </row>
    <row r="19" spans="1:11" s="20" customFormat="1" ht="125.45" customHeight="1" x14ac:dyDescent="0.2">
      <c r="A19" s="158" t="s">
        <v>69</v>
      </c>
      <c r="B19" s="158" t="s">
        <v>59</v>
      </c>
      <c r="C19" s="158" t="s">
        <v>60</v>
      </c>
      <c r="D19" s="159" t="s">
        <v>13</v>
      </c>
      <c r="E19" s="159" t="s">
        <v>14</v>
      </c>
      <c r="F19" s="159" t="s">
        <v>14</v>
      </c>
      <c r="G19" s="159" t="s">
        <v>14</v>
      </c>
      <c r="H19" s="159" t="s">
        <v>14</v>
      </c>
      <c r="I19" s="159" t="s">
        <v>15</v>
      </c>
      <c r="J19" s="159" t="s">
        <v>61</v>
      </c>
      <c r="K19" s="159" t="s">
        <v>62</v>
      </c>
    </row>
    <row r="20" spans="1:11" s="20" customFormat="1" ht="44.45" customHeight="1" x14ac:dyDescent="0.2">
      <c r="A20" s="158" t="s">
        <v>69</v>
      </c>
      <c r="B20" s="158" t="s">
        <v>63</v>
      </c>
      <c r="C20" s="158" t="s">
        <v>12</v>
      </c>
      <c r="D20" s="159" t="s">
        <v>13</v>
      </c>
      <c r="E20" s="159" t="s">
        <v>14</v>
      </c>
      <c r="F20" s="159" t="s">
        <v>14</v>
      </c>
      <c r="G20" s="159" t="s">
        <v>14</v>
      </c>
      <c r="H20" s="159" t="s">
        <v>14</v>
      </c>
      <c r="I20" s="159" t="s">
        <v>15</v>
      </c>
      <c r="J20" s="159" t="s">
        <v>64</v>
      </c>
      <c r="K20" s="159" t="s">
        <v>65</v>
      </c>
    </row>
    <row r="21" spans="1:11" s="20" customFormat="1" ht="118.15" customHeight="1" x14ac:dyDescent="0.2">
      <c r="A21" s="158" t="s">
        <v>69</v>
      </c>
      <c r="B21" s="158" t="s">
        <v>66</v>
      </c>
      <c r="C21" s="158" t="s">
        <v>60</v>
      </c>
      <c r="D21" s="159" t="s">
        <v>13</v>
      </c>
      <c r="E21" s="159" t="s">
        <v>13</v>
      </c>
      <c r="F21" s="159" t="s">
        <v>13</v>
      </c>
      <c r="G21" s="159" t="s">
        <v>14</v>
      </c>
      <c r="H21" s="159" t="s">
        <v>14</v>
      </c>
      <c r="I21" s="159" t="s">
        <v>15</v>
      </c>
      <c r="J21" s="159" t="s">
        <v>67</v>
      </c>
      <c r="K21" s="159" t="s">
        <v>68</v>
      </c>
    </row>
    <row r="22" spans="1:11" s="20" customFormat="1" ht="78" customHeight="1" x14ac:dyDescent="0.2">
      <c r="A22" s="158" t="s">
        <v>70</v>
      </c>
      <c r="B22" s="158" t="s">
        <v>71</v>
      </c>
      <c r="C22" s="158" t="s">
        <v>72</v>
      </c>
      <c r="D22" s="159" t="s">
        <v>13</v>
      </c>
      <c r="E22" s="159" t="s">
        <v>13</v>
      </c>
      <c r="F22" s="159" t="s">
        <v>14</v>
      </c>
      <c r="G22" s="159" t="s">
        <v>14</v>
      </c>
      <c r="H22" s="159" t="s">
        <v>13</v>
      </c>
      <c r="I22" s="159" t="s">
        <v>15</v>
      </c>
      <c r="J22" s="159"/>
      <c r="K22" s="159" t="s">
        <v>73</v>
      </c>
    </row>
    <row r="23" spans="1:11" s="20" customFormat="1" ht="45" x14ac:dyDescent="0.2">
      <c r="A23" s="158" t="s">
        <v>117</v>
      </c>
      <c r="B23" s="158" t="s">
        <v>74</v>
      </c>
      <c r="C23" s="158" t="s">
        <v>75</v>
      </c>
      <c r="D23" s="159" t="s">
        <v>14</v>
      </c>
      <c r="E23" s="159" t="s">
        <v>13</v>
      </c>
      <c r="F23" s="159" t="s">
        <v>13</v>
      </c>
      <c r="G23" s="159" t="s">
        <v>14</v>
      </c>
      <c r="H23" s="159" t="s">
        <v>14</v>
      </c>
      <c r="I23" s="159" t="s">
        <v>40</v>
      </c>
      <c r="J23" s="159" t="s">
        <v>76</v>
      </c>
      <c r="K23" s="159" t="s">
        <v>77</v>
      </c>
    </row>
    <row r="24" spans="1:11" s="20" customFormat="1" ht="22.5" x14ac:dyDescent="0.2">
      <c r="A24" s="158" t="s">
        <v>117</v>
      </c>
      <c r="B24" s="158" t="s">
        <v>78</v>
      </c>
      <c r="C24" s="158" t="s">
        <v>75</v>
      </c>
      <c r="D24" s="159" t="s">
        <v>14</v>
      </c>
      <c r="E24" s="159" t="s">
        <v>14</v>
      </c>
      <c r="F24" s="159" t="s">
        <v>13</v>
      </c>
      <c r="G24" s="159" t="s">
        <v>14</v>
      </c>
      <c r="H24" s="159" t="s">
        <v>14</v>
      </c>
      <c r="I24" s="159" t="s">
        <v>40</v>
      </c>
      <c r="J24" s="159" t="s">
        <v>79</v>
      </c>
      <c r="K24" s="159" t="s">
        <v>77</v>
      </c>
    </row>
    <row r="25" spans="1:11" s="20" customFormat="1" ht="45" customHeight="1" x14ac:dyDescent="0.2">
      <c r="A25" s="158" t="s">
        <v>117</v>
      </c>
      <c r="B25" s="158" t="s">
        <v>80</v>
      </c>
      <c r="C25" s="158" t="s">
        <v>75</v>
      </c>
      <c r="D25" s="159" t="s">
        <v>14</v>
      </c>
      <c r="E25" s="159" t="s">
        <v>14</v>
      </c>
      <c r="F25" s="159" t="s">
        <v>13</v>
      </c>
      <c r="G25" s="159" t="s">
        <v>14</v>
      </c>
      <c r="H25" s="159" t="s">
        <v>14</v>
      </c>
      <c r="I25" s="159" t="s">
        <v>40</v>
      </c>
      <c r="J25" s="159" t="s">
        <v>81</v>
      </c>
      <c r="K25" s="159" t="s">
        <v>82</v>
      </c>
    </row>
    <row r="26" spans="1:11" s="20" customFormat="1" ht="22.9" customHeight="1" x14ac:dyDescent="0.2">
      <c r="A26" s="158" t="s">
        <v>117</v>
      </c>
      <c r="B26" s="158" t="s">
        <v>83</v>
      </c>
      <c r="C26" s="158" t="s">
        <v>75</v>
      </c>
      <c r="D26" s="159" t="s">
        <v>14</v>
      </c>
      <c r="E26" s="159" t="s">
        <v>14</v>
      </c>
      <c r="F26" s="159" t="s">
        <v>13</v>
      </c>
      <c r="G26" s="159" t="s">
        <v>14</v>
      </c>
      <c r="H26" s="159" t="s">
        <v>14</v>
      </c>
      <c r="I26" s="159" t="s">
        <v>40</v>
      </c>
      <c r="J26" s="159" t="s">
        <v>84</v>
      </c>
      <c r="K26" s="159" t="s">
        <v>77</v>
      </c>
    </row>
    <row r="27" spans="1:11" s="20" customFormat="1" ht="22.5" x14ac:dyDescent="0.2">
      <c r="A27" s="158" t="s">
        <v>117</v>
      </c>
      <c r="B27" s="158" t="s">
        <v>85</v>
      </c>
      <c r="C27" s="158" t="s">
        <v>75</v>
      </c>
      <c r="D27" s="159" t="s">
        <v>14</v>
      </c>
      <c r="E27" s="159" t="s">
        <v>14</v>
      </c>
      <c r="F27" s="159" t="s">
        <v>13</v>
      </c>
      <c r="G27" s="159" t="s">
        <v>14</v>
      </c>
      <c r="H27" s="159" t="s">
        <v>14</v>
      </c>
      <c r="I27" s="159" t="s">
        <v>40</v>
      </c>
      <c r="J27" s="159" t="s">
        <v>86</v>
      </c>
      <c r="K27" s="159" t="s">
        <v>77</v>
      </c>
    </row>
    <row r="28" spans="1:11" s="20" customFormat="1" ht="22.5" x14ac:dyDescent="0.2">
      <c r="A28" s="158" t="s">
        <v>117</v>
      </c>
      <c r="B28" s="158" t="s">
        <v>87</v>
      </c>
      <c r="C28" s="158" t="s">
        <v>88</v>
      </c>
      <c r="D28" s="159" t="s">
        <v>14</v>
      </c>
      <c r="E28" s="159" t="s">
        <v>14</v>
      </c>
      <c r="F28" s="159" t="s">
        <v>13</v>
      </c>
      <c r="G28" s="159" t="s">
        <v>14</v>
      </c>
      <c r="H28" s="159" t="s">
        <v>14</v>
      </c>
      <c r="I28" s="159" t="s">
        <v>40</v>
      </c>
      <c r="J28" s="159" t="s">
        <v>89</v>
      </c>
      <c r="K28" s="159" t="s">
        <v>77</v>
      </c>
    </row>
    <row r="29" spans="1:11" s="20" customFormat="1" ht="22.5" x14ac:dyDescent="0.2">
      <c r="A29" s="158" t="s">
        <v>117</v>
      </c>
      <c r="B29" s="158" t="s">
        <v>90</v>
      </c>
      <c r="C29" s="158" t="s">
        <v>75</v>
      </c>
      <c r="D29" s="159" t="s">
        <v>14</v>
      </c>
      <c r="E29" s="159" t="s">
        <v>14</v>
      </c>
      <c r="F29" s="159" t="s">
        <v>13</v>
      </c>
      <c r="G29" s="159" t="s">
        <v>14</v>
      </c>
      <c r="H29" s="159" t="s">
        <v>14</v>
      </c>
      <c r="I29" s="159" t="s">
        <v>40</v>
      </c>
      <c r="J29" s="159" t="s">
        <v>91</v>
      </c>
      <c r="K29" s="159" t="s">
        <v>77</v>
      </c>
    </row>
    <row r="30" spans="1:11" s="20" customFormat="1" ht="54" customHeight="1" x14ac:dyDescent="0.2">
      <c r="A30" s="158" t="s">
        <v>117</v>
      </c>
      <c r="B30" s="158" t="s">
        <v>92</v>
      </c>
      <c r="C30" s="158" t="s">
        <v>75</v>
      </c>
      <c r="D30" s="159" t="s">
        <v>14</v>
      </c>
      <c r="E30" s="159" t="s">
        <v>14</v>
      </c>
      <c r="F30" s="159" t="s">
        <v>14</v>
      </c>
      <c r="G30" s="159" t="s">
        <v>14</v>
      </c>
      <c r="H30" s="159" t="s">
        <v>14</v>
      </c>
      <c r="I30" s="159" t="s">
        <v>40</v>
      </c>
      <c r="J30" s="159" t="s">
        <v>93</v>
      </c>
      <c r="K30" s="159" t="s">
        <v>77</v>
      </c>
    </row>
    <row r="31" spans="1:11" s="20" customFormat="1" ht="36" customHeight="1" x14ac:dyDescent="0.2">
      <c r="A31" s="158" t="s">
        <v>117</v>
      </c>
      <c r="B31" s="158" t="s">
        <v>94</v>
      </c>
      <c r="C31" s="158" t="s">
        <v>75</v>
      </c>
      <c r="D31" s="159" t="s">
        <v>14</v>
      </c>
      <c r="E31" s="159" t="s">
        <v>14</v>
      </c>
      <c r="F31" s="159" t="s">
        <v>13</v>
      </c>
      <c r="G31" s="159" t="s">
        <v>14</v>
      </c>
      <c r="H31" s="159" t="s">
        <v>14</v>
      </c>
      <c r="I31" s="159" t="s">
        <v>40</v>
      </c>
      <c r="J31" s="159" t="s">
        <v>95</v>
      </c>
      <c r="K31" s="159" t="s">
        <v>77</v>
      </c>
    </row>
    <row r="32" spans="1:11" s="20" customFormat="1" ht="22.5" x14ac:dyDescent="0.2">
      <c r="A32" s="158" t="s">
        <v>117</v>
      </c>
      <c r="B32" s="158" t="s">
        <v>96</v>
      </c>
      <c r="C32" s="158" t="s">
        <v>97</v>
      </c>
      <c r="D32" s="159" t="s">
        <v>14</v>
      </c>
      <c r="E32" s="159" t="s">
        <v>14</v>
      </c>
      <c r="F32" s="159" t="s">
        <v>14</v>
      </c>
      <c r="G32" s="159" t="s">
        <v>14</v>
      </c>
      <c r="H32" s="159" t="s">
        <v>13</v>
      </c>
      <c r="I32" s="159" t="s">
        <v>40</v>
      </c>
      <c r="J32" s="159" t="s">
        <v>98</v>
      </c>
      <c r="K32" s="159" t="s">
        <v>99</v>
      </c>
    </row>
    <row r="33" spans="1:11" s="20" customFormat="1" ht="22.5" x14ac:dyDescent="0.2">
      <c r="A33" s="158" t="s">
        <v>117</v>
      </c>
      <c r="B33" s="158" t="s">
        <v>100</v>
      </c>
      <c r="C33" s="158" t="s">
        <v>75</v>
      </c>
      <c r="D33" s="159" t="s">
        <v>14</v>
      </c>
      <c r="E33" s="159" t="s">
        <v>14</v>
      </c>
      <c r="F33" s="159" t="s">
        <v>13</v>
      </c>
      <c r="G33" s="159" t="s">
        <v>14</v>
      </c>
      <c r="H33" s="159" t="s">
        <v>14</v>
      </c>
      <c r="I33" s="159" t="s">
        <v>40</v>
      </c>
      <c r="J33" s="159" t="s">
        <v>101</v>
      </c>
      <c r="K33" s="159" t="s">
        <v>77</v>
      </c>
    </row>
    <row r="34" spans="1:11" s="20" customFormat="1" ht="22.5" x14ac:dyDescent="0.2">
      <c r="A34" s="158" t="s">
        <v>117</v>
      </c>
      <c r="B34" s="158" t="s">
        <v>102</v>
      </c>
      <c r="C34" s="158" t="s">
        <v>75</v>
      </c>
      <c r="D34" s="159" t="s">
        <v>14</v>
      </c>
      <c r="E34" s="159" t="s">
        <v>14</v>
      </c>
      <c r="F34" s="159" t="s">
        <v>13</v>
      </c>
      <c r="G34" s="159" t="s">
        <v>14</v>
      </c>
      <c r="H34" s="159" t="s">
        <v>14</v>
      </c>
      <c r="I34" s="159" t="s">
        <v>40</v>
      </c>
      <c r="J34" s="159" t="s">
        <v>103</v>
      </c>
      <c r="K34" s="159" t="s">
        <v>77</v>
      </c>
    </row>
    <row r="35" spans="1:11" s="20" customFormat="1" ht="45" x14ac:dyDescent="0.2">
      <c r="A35" s="158" t="s">
        <v>117</v>
      </c>
      <c r="B35" s="158" t="s">
        <v>104</v>
      </c>
      <c r="C35" s="158" t="s">
        <v>105</v>
      </c>
      <c r="D35" s="159" t="s">
        <v>14</v>
      </c>
      <c r="E35" s="159" t="s">
        <v>14</v>
      </c>
      <c r="F35" s="159" t="s">
        <v>14</v>
      </c>
      <c r="G35" s="159" t="s">
        <v>14</v>
      </c>
      <c r="H35" s="159" t="s">
        <v>14</v>
      </c>
      <c r="I35" s="159" t="s">
        <v>40</v>
      </c>
      <c r="J35" s="159" t="s">
        <v>106</v>
      </c>
      <c r="K35" s="159" t="s">
        <v>77</v>
      </c>
    </row>
    <row r="36" spans="1:11" s="20" customFormat="1" ht="22.5" x14ac:dyDescent="0.2">
      <c r="A36" s="158" t="s">
        <v>117</v>
      </c>
      <c r="B36" s="158" t="s">
        <v>107</v>
      </c>
      <c r="C36" s="158" t="s">
        <v>75</v>
      </c>
      <c r="D36" s="159" t="s">
        <v>14</v>
      </c>
      <c r="E36" s="159" t="s">
        <v>14</v>
      </c>
      <c r="F36" s="159" t="s">
        <v>13</v>
      </c>
      <c r="G36" s="159" t="s">
        <v>14</v>
      </c>
      <c r="H36" s="159" t="s">
        <v>14</v>
      </c>
      <c r="I36" s="159" t="s">
        <v>40</v>
      </c>
      <c r="J36" s="159" t="s">
        <v>108</v>
      </c>
      <c r="K36" s="159" t="s">
        <v>77</v>
      </c>
    </row>
    <row r="37" spans="1:11" s="20" customFormat="1" ht="22.5" x14ac:dyDescent="0.2">
      <c r="A37" s="158" t="s">
        <v>117</v>
      </c>
      <c r="B37" s="158" t="s">
        <v>109</v>
      </c>
      <c r="C37" s="158" t="s">
        <v>75</v>
      </c>
      <c r="D37" s="159" t="s">
        <v>14</v>
      </c>
      <c r="E37" s="159" t="s">
        <v>14</v>
      </c>
      <c r="F37" s="159" t="s">
        <v>13</v>
      </c>
      <c r="G37" s="159" t="s">
        <v>14</v>
      </c>
      <c r="H37" s="159" t="s">
        <v>14</v>
      </c>
      <c r="I37" s="159" t="s">
        <v>40</v>
      </c>
      <c r="J37" s="159" t="s">
        <v>110</v>
      </c>
      <c r="K37" s="159" t="s">
        <v>77</v>
      </c>
    </row>
    <row r="38" spans="1:11" s="20" customFormat="1" ht="33.75" x14ac:dyDescent="0.2">
      <c r="A38" s="158" t="s">
        <v>117</v>
      </c>
      <c r="B38" s="158" t="s">
        <v>38</v>
      </c>
      <c r="C38" s="158" t="s">
        <v>60</v>
      </c>
      <c r="D38" s="159" t="s">
        <v>14</v>
      </c>
      <c r="E38" s="159" t="s">
        <v>14</v>
      </c>
      <c r="F38" s="159" t="s">
        <v>13</v>
      </c>
      <c r="G38" s="159" t="s">
        <v>14</v>
      </c>
      <c r="H38" s="159" t="s">
        <v>13</v>
      </c>
      <c r="I38" s="159" t="s">
        <v>40</v>
      </c>
      <c r="J38" s="159" t="s">
        <v>111</v>
      </c>
      <c r="K38" s="159" t="s">
        <v>77</v>
      </c>
    </row>
    <row r="39" spans="1:11" s="20" customFormat="1" ht="22.5" x14ac:dyDescent="0.2">
      <c r="A39" s="158" t="s">
        <v>117</v>
      </c>
      <c r="B39" s="158" t="s">
        <v>112</v>
      </c>
      <c r="C39" s="158" t="s">
        <v>75</v>
      </c>
      <c r="D39" s="159" t="s">
        <v>14</v>
      </c>
      <c r="E39" s="159" t="s">
        <v>14</v>
      </c>
      <c r="F39" s="159" t="s">
        <v>13</v>
      </c>
      <c r="G39" s="159" t="s">
        <v>14</v>
      </c>
      <c r="H39" s="159" t="s">
        <v>14</v>
      </c>
      <c r="I39" s="159" t="s">
        <v>40</v>
      </c>
      <c r="J39" s="159" t="s">
        <v>112</v>
      </c>
      <c r="K39" s="159" t="s">
        <v>77</v>
      </c>
    </row>
    <row r="40" spans="1:11" s="20" customFormat="1" ht="24.6" customHeight="1" x14ac:dyDescent="0.2">
      <c r="A40" s="158" t="s">
        <v>117</v>
      </c>
      <c r="B40" s="158" t="s">
        <v>113</v>
      </c>
      <c r="C40" s="158" t="s">
        <v>114</v>
      </c>
      <c r="D40" s="159" t="s">
        <v>13</v>
      </c>
      <c r="E40" s="159" t="s">
        <v>14</v>
      </c>
      <c r="F40" s="159" t="s">
        <v>13</v>
      </c>
      <c r="G40" s="159" t="s">
        <v>14</v>
      </c>
      <c r="H40" s="159" t="s">
        <v>14</v>
      </c>
      <c r="I40" s="159" t="s">
        <v>40</v>
      </c>
      <c r="J40" s="159" t="s">
        <v>115</v>
      </c>
      <c r="K40" s="159" t="s">
        <v>116</v>
      </c>
    </row>
    <row r="41" spans="1:11" s="20" customFormat="1" ht="22.5" x14ac:dyDescent="0.2">
      <c r="A41" s="158" t="s">
        <v>126</v>
      </c>
      <c r="B41" s="158" t="s">
        <v>120</v>
      </c>
      <c r="C41" s="158" t="s">
        <v>121</v>
      </c>
      <c r="D41" s="159" t="s">
        <v>14</v>
      </c>
      <c r="E41" s="159" t="s">
        <v>14</v>
      </c>
      <c r="F41" s="159" t="s">
        <v>14</v>
      </c>
      <c r="G41" s="159" t="s">
        <v>14</v>
      </c>
      <c r="H41" s="159" t="s">
        <v>14</v>
      </c>
      <c r="I41" s="159" t="s">
        <v>582</v>
      </c>
      <c r="J41" s="159" t="s">
        <v>122</v>
      </c>
      <c r="K41" s="159"/>
    </row>
    <row r="42" spans="1:11" s="20" customFormat="1" ht="33.75" x14ac:dyDescent="0.2">
      <c r="A42" s="158" t="s">
        <v>126</v>
      </c>
      <c r="B42" s="158" t="s">
        <v>123</v>
      </c>
      <c r="C42" s="158" t="s">
        <v>121</v>
      </c>
      <c r="D42" s="159" t="s">
        <v>14</v>
      </c>
      <c r="E42" s="159" t="s">
        <v>14</v>
      </c>
      <c r="F42" s="159" t="s">
        <v>14</v>
      </c>
      <c r="G42" s="159" t="s">
        <v>14</v>
      </c>
      <c r="H42" s="159" t="s">
        <v>14</v>
      </c>
      <c r="I42" s="159" t="s">
        <v>582</v>
      </c>
      <c r="J42" s="159" t="s">
        <v>122</v>
      </c>
      <c r="K42" s="159"/>
    </row>
    <row r="43" spans="1:11" s="20" customFormat="1" ht="33.75" x14ac:dyDescent="0.2">
      <c r="A43" s="158" t="s">
        <v>126</v>
      </c>
      <c r="B43" s="158" t="s">
        <v>124</v>
      </c>
      <c r="C43" s="158" t="s">
        <v>121</v>
      </c>
      <c r="D43" s="159" t="s">
        <v>14</v>
      </c>
      <c r="E43" s="159" t="s">
        <v>14</v>
      </c>
      <c r="F43" s="159" t="s">
        <v>14</v>
      </c>
      <c r="G43" s="159" t="s">
        <v>14</v>
      </c>
      <c r="H43" s="159" t="s">
        <v>14</v>
      </c>
      <c r="I43" s="159" t="s">
        <v>125</v>
      </c>
      <c r="J43" s="159" t="s">
        <v>122</v>
      </c>
      <c r="K43" s="159"/>
    </row>
    <row r="44" spans="1:11" s="20" customFormat="1" ht="15" customHeight="1" x14ac:dyDescent="0.2">
      <c r="A44" s="158" t="s">
        <v>142</v>
      </c>
      <c r="B44" s="158" t="s">
        <v>128</v>
      </c>
      <c r="C44" s="158" t="s">
        <v>129</v>
      </c>
      <c r="D44" s="159" t="s">
        <v>13</v>
      </c>
      <c r="E44" s="159" t="s">
        <v>14</v>
      </c>
      <c r="F44" s="159" t="s">
        <v>14</v>
      </c>
      <c r="G44" s="159" t="s">
        <v>13</v>
      </c>
      <c r="H44" s="159" t="s">
        <v>14</v>
      </c>
      <c r="I44" s="159" t="s">
        <v>15</v>
      </c>
      <c r="J44" s="159" t="s">
        <v>130</v>
      </c>
      <c r="K44" s="159"/>
    </row>
    <row r="45" spans="1:11" s="20" customFormat="1" ht="27.6" customHeight="1" x14ac:dyDescent="0.2">
      <c r="A45" s="158" t="s">
        <v>142</v>
      </c>
      <c r="B45" s="158" t="s">
        <v>131</v>
      </c>
      <c r="C45" s="158" t="s">
        <v>129</v>
      </c>
      <c r="D45" s="159" t="s">
        <v>13</v>
      </c>
      <c r="E45" s="159" t="s">
        <v>14</v>
      </c>
      <c r="F45" s="159" t="s">
        <v>14</v>
      </c>
      <c r="G45" s="159" t="s">
        <v>13</v>
      </c>
      <c r="H45" s="159" t="s">
        <v>14</v>
      </c>
      <c r="I45" s="159" t="s">
        <v>15</v>
      </c>
      <c r="J45" s="159" t="s">
        <v>132</v>
      </c>
      <c r="K45" s="159"/>
    </row>
    <row r="46" spans="1:11" s="20" customFormat="1" ht="22.5" x14ac:dyDescent="0.2">
      <c r="A46" s="158" t="s">
        <v>142</v>
      </c>
      <c r="B46" s="158" t="s">
        <v>133</v>
      </c>
      <c r="C46" s="158" t="s">
        <v>134</v>
      </c>
      <c r="D46" s="159" t="s">
        <v>13</v>
      </c>
      <c r="E46" s="159" t="s">
        <v>14</v>
      </c>
      <c r="F46" s="159" t="s">
        <v>14</v>
      </c>
      <c r="G46" s="159" t="s">
        <v>13</v>
      </c>
      <c r="H46" s="159" t="s">
        <v>14</v>
      </c>
      <c r="I46" s="159" t="s">
        <v>15</v>
      </c>
      <c r="J46" s="159" t="s">
        <v>135</v>
      </c>
      <c r="K46" s="159"/>
    </row>
    <row r="47" spans="1:11" s="20" customFormat="1" ht="55.9" customHeight="1" x14ac:dyDescent="0.2">
      <c r="A47" s="158" t="s">
        <v>142</v>
      </c>
      <c r="B47" s="158" t="s">
        <v>136</v>
      </c>
      <c r="C47" s="158" t="s">
        <v>12</v>
      </c>
      <c r="D47" s="159" t="s">
        <v>14</v>
      </c>
      <c r="E47" s="159" t="s">
        <v>14</v>
      </c>
      <c r="F47" s="159" t="s">
        <v>14</v>
      </c>
      <c r="G47" s="159" t="s">
        <v>14</v>
      </c>
      <c r="H47" s="159" t="s">
        <v>14</v>
      </c>
      <c r="I47" s="159" t="s">
        <v>15</v>
      </c>
      <c r="J47" s="159" t="s">
        <v>137</v>
      </c>
      <c r="K47" s="159"/>
    </row>
    <row r="48" spans="1:11" s="20" customFormat="1" ht="36.6" customHeight="1" x14ac:dyDescent="0.2">
      <c r="A48" s="158" t="s">
        <v>142</v>
      </c>
      <c r="B48" s="158" t="s">
        <v>138</v>
      </c>
      <c r="C48" s="158" t="s">
        <v>129</v>
      </c>
      <c r="D48" s="159" t="s">
        <v>13</v>
      </c>
      <c r="E48" s="159" t="s">
        <v>14</v>
      </c>
      <c r="F48" s="159" t="s">
        <v>14</v>
      </c>
      <c r="G48" s="159" t="s">
        <v>13</v>
      </c>
      <c r="H48" s="159" t="s">
        <v>13</v>
      </c>
      <c r="I48" s="159" t="s">
        <v>15</v>
      </c>
      <c r="J48" s="159" t="s">
        <v>806</v>
      </c>
      <c r="K48" s="159"/>
    </row>
    <row r="49" spans="1:11" s="20" customFormat="1" x14ac:dyDescent="0.2">
      <c r="A49" s="158" t="s">
        <v>142</v>
      </c>
      <c r="B49" s="158" t="s">
        <v>140</v>
      </c>
      <c r="C49" s="158" t="s">
        <v>12</v>
      </c>
      <c r="D49" s="159" t="s">
        <v>13</v>
      </c>
      <c r="E49" s="159" t="s">
        <v>14</v>
      </c>
      <c r="F49" s="159" t="s">
        <v>14</v>
      </c>
      <c r="G49" s="159" t="s">
        <v>13</v>
      </c>
      <c r="H49" s="159" t="s">
        <v>14</v>
      </c>
      <c r="I49" s="159" t="s">
        <v>15</v>
      </c>
      <c r="J49" s="159" t="s">
        <v>140</v>
      </c>
      <c r="K49" s="159"/>
    </row>
    <row r="50" spans="1:11" s="20" customFormat="1" x14ac:dyDescent="0.2">
      <c r="A50" s="158" t="s">
        <v>142</v>
      </c>
      <c r="B50" s="158" t="s">
        <v>141</v>
      </c>
      <c r="C50" s="158" t="s">
        <v>206</v>
      </c>
      <c r="D50" s="159" t="s">
        <v>13</v>
      </c>
      <c r="E50" s="159" t="s">
        <v>14</v>
      </c>
      <c r="F50" s="159" t="s">
        <v>14</v>
      </c>
      <c r="G50" s="159" t="s">
        <v>13</v>
      </c>
      <c r="H50" s="159" t="s">
        <v>14</v>
      </c>
      <c r="I50" s="159" t="s">
        <v>15</v>
      </c>
      <c r="J50" s="159"/>
      <c r="K50" s="159"/>
    </row>
    <row r="51" spans="1:11" s="20" customFormat="1" ht="45" customHeight="1" x14ac:dyDescent="0.2">
      <c r="A51" s="158" t="s">
        <v>172</v>
      </c>
      <c r="B51" s="158" t="s">
        <v>143</v>
      </c>
      <c r="C51" s="158" t="s">
        <v>12</v>
      </c>
      <c r="D51" s="159" t="s">
        <v>14</v>
      </c>
      <c r="E51" s="159" t="s">
        <v>14</v>
      </c>
      <c r="F51" s="159" t="s">
        <v>14</v>
      </c>
      <c r="G51" s="159" t="s">
        <v>14</v>
      </c>
      <c r="H51" s="159" t="s">
        <v>14</v>
      </c>
      <c r="I51" s="159" t="s">
        <v>15</v>
      </c>
      <c r="J51" s="159" t="s">
        <v>144</v>
      </c>
      <c r="K51" s="159" t="s">
        <v>145</v>
      </c>
    </row>
    <row r="52" spans="1:11" s="20" customFormat="1" ht="46.15" customHeight="1" x14ac:dyDescent="0.2">
      <c r="A52" s="158" t="s">
        <v>172</v>
      </c>
      <c r="B52" s="158" t="s">
        <v>146</v>
      </c>
      <c r="C52" s="158" t="s">
        <v>12</v>
      </c>
      <c r="D52" s="159" t="s">
        <v>13</v>
      </c>
      <c r="E52" s="159" t="s">
        <v>14</v>
      </c>
      <c r="F52" s="159" t="s">
        <v>14</v>
      </c>
      <c r="G52" s="159" t="s">
        <v>14</v>
      </c>
      <c r="H52" s="159" t="s">
        <v>14</v>
      </c>
      <c r="I52" s="159" t="s">
        <v>15</v>
      </c>
      <c r="J52" s="159" t="s">
        <v>147</v>
      </c>
      <c r="K52" s="159" t="s">
        <v>148</v>
      </c>
    </row>
    <row r="53" spans="1:11" s="20" customFormat="1" ht="45.6" customHeight="1" x14ac:dyDescent="0.2">
      <c r="A53" s="158" t="s">
        <v>172</v>
      </c>
      <c r="B53" s="158" t="s">
        <v>149</v>
      </c>
      <c r="C53" s="158" t="s">
        <v>150</v>
      </c>
      <c r="D53" s="159" t="s">
        <v>14</v>
      </c>
      <c r="E53" s="159" t="s">
        <v>14</v>
      </c>
      <c r="F53" s="159" t="s">
        <v>14</v>
      </c>
      <c r="G53" s="159" t="s">
        <v>14</v>
      </c>
      <c r="H53" s="159" t="s">
        <v>14</v>
      </c>
      <c r="I53" s="159" t="s">
        <v>15</v>
      </c>
      <c r="J53" s="159" t="s">
        <v>151</v>
      </c>
      <c r="K53" s="159" t="s">
        <v>152</v>
      </c>
    </row>
    <row r="54" spans="1:11" s="20" customFormat="1" ht="45" customHeight="1" x14ac:dyDescent="0.2">
      <c r="A54" s="158" t="s">
        <v>172</v>
      </c>
      <c r="B54" s="158" t="s">
        <v>153</v>
      </c>
      <c r="C54" s="158" t="s">
        <v>88</v>
      </c>
      <c r="D54" s="159" t="s">
        <v>14</v>
      </c>
      <c r="E54" s="159" t="s">
        <v>14</v>
      </c>
      <c r="F54" s="159" t="s">
        <v>14</v>
      </c>
      <c r="G54" s="159" t="s">
        <v>14</v>
      </c>
      <c r="H54" s="159" t="s">
        <v>14</v>
      </c>
      <c r="I54" s="159" t="s">
        <v>15</v>
      </c>
      <c r="J54" s="159" t="s">
        <v>154</v>
      </c>
      <c r="K54" s="159" t="s">
        <v>155</v>
      </c>
    </row>
    <row r="55" spans="1:11" s="20" customFormat="1" ht="34.9" customHeight="1" x14ac:dyDescent="0.2">
      <c r="A55" s="158" t="s">
        <v>172</v>
      </c>
      <c r="B55" s="158" t="s">
        <v>156</v>
      </c>
      <c r="C55" s="158" t="s">
        <v>88</v>
      </c>
      <c r="D55" s="159" t="s">
        <v>13</v>
      </c>
      <c r="E55" s="159" t="s">
        <v>14</v>
      </c>
      <c r="F55" s="159" t="s">
        <v>157</v>
      </c>
      <c r="G55" s="159" t="s">
        <v>14</v>
      </c>
      <c r="H55" s="159" t="s">
        <v>14</v>
      </c>
      <c r="I55" s="159" t="s">
        <v>15</v>
      </c>
      <c r="J55" s="159" t="s">
        <v>158</v>
      </c>
      <c r="K55" s="159" t="s">
        <v>159</v>
      </c>
    </row>
    <row r="56" spans="1:11" s="20" customFormat="1" ht="36" customHeight="1" x14ac:dyDescent="0.2">
      <c r="A56" s="158" t="s">
        <v>172</v>
      </c>
      <c r="B56" s="158" t="s">
        <v>160</v>
      </c>
      <c r="C56" s="158" t="s">
        <v>88</v>
      </c>
      <c r="D56" s="159" t="s">
        <v>13</v>
      </c>
      <c r="E56" s="159" t="s">
        <v>14</v>
      </c>
      <c r="F56" s="159" t="s">
        <v>161</v>
      </c>
      <c r="G56" s="159" t="s">
        <v>14</v>
      </c>
      <c r="H56" s="159" t="s">
        <v>13</v>
      </c>
      <c r="I56" s="159" t="s">
        <v>15</v>
      </c>
      <c r="J56" s="159" t="s">
        <v>162</v>
      </c>
      <c r="K56" s="159"/>
    </row>
    <row r="57" spans="1:11" s="20" customFormat="1" ht="77.45" customHeight="1" x14ac:dyDescent="0.2">
      <c r="A57" s="158" t="s">
        <v>172</v>
      </c>
      <c r="B57" s="158" t="s">
        <v>163</v>
      </c>
      <c r="C57" s="158" t="s">
        <v>164</v>
      </c>
      <c r="D57" s="159" t="s">
        <v>13</v>
      </c>
      <c r="E57" s="159" t="s">
        <v>14</v>
      </c>
      <c r="F57" s="159" t="s">
        <v>14</v>
      </c>
      <c r="G57" s="159" t="s">
        <v>14</v>
      </c>
      <c r="H57" s="159" t="s">
        <v>14</v>
      </c>
      <c r="I57" s="159" t="s">
        <v>15</v>
      </c>
      <c r="J57" s="159" t="s">
        <v>165</v>
      </c>
      <c r="K57" s="159"/>
    </row>
    <row r="58" spans="1:11" s="20" customFormat="1" ht="45" x14ac:dyDescent="0.2">
      <c r="A58" s="158" t="s">
        <v>172</v>
      </c>
      <c r="B58" s="158" t="s">
        <v>166</v>
      </c>
      <c r="C58" s="158" t="s">
        <v>12</v>
      </c>
      <c r="D58" s="159" t="s">
        <v>14</v>
      </c>
      <c r="E58" s="159" t="s">
        <v>14</v>
      </c>
      <c r="F58" s="159" t="s">
        <v>167</v>
      </c>
      <c r="G58" s="159" t="s">
        <v>13</v>
      </c>
      <c r="H58" s="159" t="s">
        <v>13</v>
      </c>
      <c r="I58" s="159" t="s">
        <v>15</v>
      </c>
      <c r="J58" s="159" t="s">
        <v>168</v>
      </c>
      <c r="K58" s="159" t="s">
        <v>169</v>
      </c>
    </row>
    <row r="59" spans="1:11" s="20" customFormat="1" ht="45" customHeight="1" x14ac:dyDescent="0.2">
      <c r="A59" s="158" t="s">
        <v>172</v>
      </c>
      <c r="B59" s="158" t="s">
        <v>170</v>
      </c>
      <c r="C59" s="158" t="s">
        <v>72</v>
      </c>
      <c r="D59" s="159" t="s">
        <v>14</v>
      </c>
      <c r="E59" s="159" t="s">
        <v>14</v>
      </c>
      <c r="F59" s="159" t="s">
        <v>167</v>
      </c>
      <c r="G59" s="159" t="s">
        <v>13</v>
      </c>
      <c r="H59" s="159" t="s">
        <v>14</v>
      </c>
      <c r="I59" s="159" t="s">
        <v>15</v>
      </c>
      <c r="J59" s="159" t="s">
        <v>171</v>
      </c>
      <c r="K59" s="159" t="s">
        <v>148</v>
      </c>
    </row>
    <row r="60" spans="1:11" s="20" customFormat="1" ht="112.5" x14ac:dyDescent="0.2">
      <c r="A60" s="158" t="s">
        <v>186</v>
      </c>
      <c r="B60" s="158" t="s">
        <v>175</v>
      </c>
      <c r="C60" s="158" t="s">
        <v>176</v>
      </c>
      <c r="D60" s="159" t="s">
        <v>14</v>
      </c>
      <c r="E60" s="159" t="s">
        <v>14</v>
      </c>
      <c r="F60" s="159" t="s">
        <v>177</v>
      </c>
      <c r="G60" s="159" t="s">
        <v>14</v>
      </c>
      <c r="H60" s="159" t="s">
        <v>13</v>
      </c>
      <c r="I60" s="159" t="s">
        <v>15</v>
      </c>
      <c r="J60" s="159" t="s">
        <v>178</v>
      </c>
      <c r="K60" s="159" t="s">
        <v>179</v>
      </c>
    </row>
    <row r="61" spans="1:11" s="20" customFormat="1" ht="22.5" x14ac:dyDescent="0.2">
      <c r="A61" s="158" t="s">
        <v>186</v>
      </c>
      <c r="B61" s="158" t="s">
        <v>180</v>
      </c>
      <c r="C61" s="158" t="s">
        <v>176</v>
      </c>
      <c r="D61" s="159" t="s">
        <v>14</v>
      </c>
      <c r="E61" s="159" t="s">
        <v>14</v>
      </c>
      <c r="F61" s="159" t="s">
        <v>14</v>
      </c>
      <c r="G61" s="159" t="s">
        <v>14</v>
      </c>
      <c r="H61" s="159" t="s">
        <v>13</v>
      </c>
      <c r="I61" s="159" t="s">
        <v>15</v>
      </c>
      <c r="J61" s="159" t="s">
        <v>181</v>
      </c>
      <c r="K61" s="159" t="s">
        <v>182</v>
      </c>
    </row>
    <row r="62" spans="1:11" s="20" customFormat="1" ht="24" customHeight="1" x14ac:dyDescent="0.2">
      <c r="A62" s="158" t="s">
        <v>186</v>
      </c>
      <c r="B62" s="158" t="s">
        <v>183</v>
      </c>
      <c r="C62" s="158" t="s">
        <v>187</v>
      </c>
      <c r="D62" s="159" t="s">
        <v>14</v>
      </c>
      <c r="E62" s="159" t="s">
        <v>14</v>
      </c>
      <c r="F62" s="159" t="s">
        <v>14</v>
      </c>
      <c r="G62" s="159" t="s">
        <v>14</v>
      </c>
      <c r="H62" s="159" t="s">
        <v>14</v>
      </c>
      <c r="I62" s="159" t="s">
        <v>40</v>
      </c>
      <c r="J62" s="159" t="s">
        <v>184</v>
      </c>
      <c r="K62" s="159" t="s">
        <v>185</v>
      </c>
    </row>
    <row r="63" spans="1:11" s="20" customFormat="1" ht="22.9" customHeight="1" x14ac:dyDescent="0.2">
      <c r="A63" s="158" t="s">
        <v>197</v>
      </c>
      <c r="B63" s="158" t="s">
        <v>188</v>
      </c>
      <c r="C63" s="158" t="s">
        <v>189</v>
      </c>
      <c r="D63" s="159" t="s">
        <v>13</v>
      </c>
      <c r="E63" s="159" t="s">
        <v>14</v>
      </c>
      <c r="F63" s="159"/>
      <c r="G63" s="159" t="s">
        <v>14</v>
      </c>
      <c r="H63" s="159" t="s">
        <v>14</v>
      </c>
      <c r="I63" s="159" t="s">
        <v>15</v>
      </c>
      <c r="J63" s="159" t="s">
        <v>190</v>
      </c>
      <c r="K63" s="159" t="s">
        <v>191</v>
      </c>
    </row>
    <row r="64" spans="1:11" s="20" customFormat="1" ht="25.15" customHeight="1" x14ac:dyDescent="0.2">
      <c r="A64" s="158" t="s">
        <v>197</v>
      </c>
      <c r="B64" s="158" t="s">
        <v>192</v>
      </c>
      <c r="C64" s="158" t="s">
        <v>189</v>
      </c>
      <c r="D64" s="159" t="s">
        <v>13</v>
      </c>
      <c r="E64" s="159" t="s">
        <v>14</v>
      </c>
      <c r="F64" s="159"/>
      <c r="G64" s="159" t="s">
        <v>14</v>
      </c>
      <c r="H64" s="159" t="s">
        <v>14</v>
      </c>
      <c r="I64" s="159" t="s">
        <v>15</v>
      </c>
      <c r="J64" s="159" t="s">
        <v>190</v>
      </c>
      <c r="K64" s="159" t="s">
        <v>191</v>
      </c>
    </row>
    <row r="65" spans="1:11" s="20" customFormat="1" ht="36.6" customHeight="1" x14ac:dyDescent="0.2">
      <c r="A65" s="158" t="s">
        <v>197</v>
      </c>
      <c r="B65" s="158" t="s">
        <v>193</v>
      </c>
      <c r="C65" s="158" t="s">
        <v>187</v>
      </c>
      <c r="D65" s="159" t="s">
        <v>13</v>
      </c>
      <c r="E65" s="159" t="s">
        <v>14</v>
      </c>
      <c r="F65" s="159"/>
      <c r="G65" s="159" t="s">
        <v>14</v>
      </c>
      <c r="H65" s="159" t="s">
        <v>14</v>
      </c>
      <c r="I65" s="159" t="s">
        <v>15</v>
      </c>
      <c r="J65" s="159" t="s">
        <v>190</v>
      </c>
      <c r="K65" s="159" t="s">
        <v>194</v>
      </c>
    </row>
    <row r="66" spans="1:11" s="20" customFormat="1" ht="33.6" customHeight="1" x14ac:dyDescent="0.2">
      <c r="A66" s="158" t="s">
        <v>197</v>
      </c>
      <c r="B66" s="158" t="s">
        <v>195</v>
      </c>
      <c r="C66" s="158" t="s">
        <v>187</v>
      </c>
      <c r="D66" s="159" t="s">
        <v>13</v>
      </c>
      <c r="E66" s="159" t="s">
        <v>14</v>
      </c>
      <c r="F66" s="159"/>
      <c r="G66" s="159" t="s">
        <v>14</v>
      </c>
      <c r="H66" s="159" t="s">
        <v>14</v>
      </c>
      <c r="I66" s="159" t="s">
        <v>15</v>
      </c>
      <c r="J66" s="159" t="s">
        <v>190</v>
      </c>
      <c r="K66" s="159" t="s">
        <v>194</v>
      </c>
    </row>
    <row r="67" spans="1:11" s="20" customFormat="1" ht="34.9" customHeight="1" x14ac:dyDescent="0.2">
      <c r="A67" s="158" t="s">
        <v>197</v>
      </c>
      <c r="B67" s="158" t="s">
        <v>196</v>
      </c>
      <c r="C67" s="158" t="s">
        <v>187</v>
      </c>
      <c r="D67" s="159" t="s">
        <v>13</v>
      </c>
      <c r="E67" s="159" t="s">
        <v>14</v>
      </c>
      <c r="F67" s="159"/>
      <c r="G67" s="159" t="s">
        <v>14</v>
      </c>
      <c r="H67" s="159" t="s">
        <v>14</v>
      </c>
      <c r="I67" s="159" t="s">
        <v>15</v>
      </c>
      <c r="J67" s="159" t="s">
        <v>190</v>
      </c>
      <c r="K67" s="159" t="s">
        <v>194</v>
      </c>
    </row>
    <row r="68" spans="1:11" s="20" customFormat="1" ht="22.5" x14ac:dyDescent="0.2">
      <c r="A68" s="158" t="s">
        <v>267</v>
      </c>
      <c r="B68" s="158" t="s">
        <v>198</v>
      </c>
      <c r="C68" s="158" t="s">
        <v>121</v>
      </c>
      <c r="D68" s="159" t="s">
        <v>14</v>
      </c>
      <c r="E68" s="159" t="s">
        <v>14</v>
      </c>
      <c r="F68" s="159" t="s">
        <v>14</v>
      </c>
      <c r="G68" s="159" t="s">
        <v>14</v>
      </c>
      <c r="H68" s="159" t="s">
        <v>14</v>
      </c>
      <c r="I68" s="159" t="s">
        <v>15</v>
      </c>
      <c r="J68" s="159" t="s">
        <v>199</v>
      </c>
      <c r="K68" s="159" t="s">
        <v>200</v>
      </c>
    </row>
    <row r="69" spans="1:11" s="20" customFormat="1" ht="23.45" customHeight="1" x14ac:dyDescent="0.2">
      <c r="A69" s="158" t="s">
        <v>267</v>
      </c>
      <c r="B69" s="158" t="s">
        <v>201</v>
      </c>
      <c r="C69" s="158" t="s">
        <v>134</v>
      </c>
      <c r="D69" s="159" t="s">
        <v>14</v>
      </c>
      <c r="E69" s="159" t="s">
        <v>14</v>
      </c>
      <c r="F69" s="159" t="s">
        <v>14</v>
      </c>
      <c r="G69" s="159" t="s">
        <v>14</v>
      </c>
      <c r="H69" s="159" t="s">
        <v>14</v>
      </c>
      <c r="I69" s="159" t="s">
        <v>15</v>
      </c>
      <c r="J69" s="159" t="s">
        <v>199</v>
      </c>
      <c r="K69" s="159" t="s">
        <v>202</v>
      </c>
    </row>
    <row r="70" spans="1:11" s="20" customFormat="1" ht="23.45" customHeight="1" x14ac:dyDescent="0.2">
      <c r="A70" s="158" t="s">
        <v>267</v>
      </c>
      <c r="B70" s="158" t="s">
        <v>203</v>
      </c>
      <c r="C70" s="158" t="s">
        <v>176</v>
      </c>
      <c r="D70" s="159" t="s">
        <v>14</v>
      </c>
      <c r="E70" s="159" t="s">
        <v>14</v>
      </c>
      <c r="F70" s="159" t="s">
        <v>14</v>
      </c>
      <c r="G70" s="159" t="s">
        <v>14</v>
      </c>
      <c r="H70" s="159" t="s">
        <v>14</v>
      </c>
      <c r="I70" s="159" t="s">
        <v>15</v>
      </c>
      <c r="J70" s="159" t="s">
        <v>199</v>
      </c>
      <c r="K70" s="159" t="s">
        <v>204</v>
      </c>
    </row>
    <row r="71" spans="1:11" s="20" customFormat="1" ht="23.45" customHeight="1" x14ac:dyDescent="0.2">
      <c r="A71" s="158" t="s">
        <v>267</v>
      </c>
      <c r="B71" s="158" t="s">
        <v>205</v>
      </c>
      <c r="C71" s="158" t="s">
        <v>206</v>
      </c>
      <c r="D71" s="159" t="s">
        <v>14</v>
      </c>
      <c r="E71" s="159" t="s">
        <v>14</v>
      </c>
      <c r="F71" s="159" t="s">
        <v>14</v>
      </c>
      <c r="G71" s="159" t="s">
        <v>14</v>
      </c>
      <c r="H71" s="159" t="s">
        <v>14</v>
      </c>
      <c r="I71" s="159" t="s">
        <v>15</v>
      </c>
      <c r="J71" s="159" t="s">
        <v>199</v>
      </c>
      <c r="K71" s="159" t="s">
        <v>204</v>
      </c>
    </row>
    <row r="72" spans="1:11" s="20" customFormat="1" ht="33.75" x14ac:dyDescent="0.2">
      <c r="A72" s="158" t="s">
        <v>267</v>
      </c>
      <c r="B72" s="158" t="s">
        <v>207</v>
      </c>
      <c r="C72" s="158" t="s">
        <v>189</v>
      </c>
      <c r="D72" s="159" t="s">
        <v>14</v>
      </c>
      <c r="E72" s="159" t="s">
        <v>14</v>
      </c>
      <c r="F72" s="159" t="s">
        <v>14</v>
      </c>
      <c r="G72" s="159" t="s">
        <v>14</v>
      </c>
      <c r="H72" s="159" t="s">
        <v>14</v>
      </c>
      <c r="I72" s="159" t="s">
        <v>15</v>
      </c>
      <c r="J72" s="159" t="s">
        <v>199</v>
      </c>
      <c r="K72" s="159"/>
    </row>
    <row r="73" spans="1:11" s="20" customFormat="1" ht="22.15" customHeight="1" x14ac:dyDescent="0.2">
      <c r="A73" s="158" t="s">
        <v>267</v>
      </c>
      <c r="B73" s="158" t="s">
        <v>208</v>
      </c>
      <c r="C73" s="158" t="s">
        <v>176</v>
      </c>
      <c r="D73" s="159" t="s">
        <v>14</v>
      </c>
      <c r="E73" s="159" t="s">
        <v>14</v>
      </c>
      <c r="F73" s="159" t="s">
        <v>14</v>
      </c>
      <c r="G73" s="159" t="s">
        <v>14</v>
      </c>
      <c r="H73" s="159" t="s">
        <v>14</v>
      </c>
      <c r="I73" s="159" t="s">
        <v>15</v>
      </c>
      <c r="J73" s="159" t="s">
        <v>199</v>
      </c>
      <c r="K73" s="159"/>
    </row>
    <row r="74" spans="1:11" s="20" customFormat="1" ht="22.5" x14ac:dyDescent="0.2">
      <c r="A74" s="158" t="s">
        <v>267</v>
      </c>
      <c r="B74" s="158" t="s">
        <v>209</v>
      </c>
      <c r="C74" s="158" t="s">
        <v>114</v>
      </c>
      <c r="D74" s="159" t="s">
        <v>14</v>
      </c>
      <c r="E74" s="159" t="s">
        <v>14</v>
      </c>
      <c r="F74" s="159" t="s">
        <v>14</v>
      </c>
      <c r="G74" s="159" t="s">
        <v>14</v>
      </c>
      <c r="H74" s="159" t="s">
        <v>14</v>
      </c>
      <c r="I74" s="159" t="s">
        <v>15</v>
      </c>
      <c r="J74" s="159" t="s">
        <v>199</v>
      </c>
      <c r="K74" s="159"/>
    </row>
    <row r="75" spans="1:11" s="20" customFormat="1" ht="22.5" x14ac:dyDescent="0.2">
      <c r="A75" s="158" t="s">
        <v>267</v>
      </c>
      <c r="B75" s="158" t="s">
        <v>210</v>
      </c>
      <c r="C75" s="158" t="s">
        <v>187</v>
      </c>
      <c r="D75" s="159" t="s">
        <v>14</v>
      </c>
      <c r="E75" s="159" t="s">
        <v>14</v>
      </c>
      <c r="F75" s="159" t="s">
        <v>14</v>
      </c>
      <c r="G75" s="159" t="s">
        <v>14</v>
      </c>
      <c r="H75" s="159" t="s">
        <v>14</v>
      </c>
      <c r="I75" s="159" t="s">
        <v>15</v>
      </c>
      <c r="J75" s="159" t="s">
        <v>199</v>
      </c>
      <c r="K75" s="159" t="s">
        <v>204</v>
      </c>
    </row>
    <row r="76" spans="1:11" s="20" customFormat="1" ht="22.5" x14ac:dyDescent="0.2">
      <c r="A76" s="158" t="s">
        <v>267</v>
      </c>
      <c r="B76" s="158" t="s">
        <v>211</v>
      </c>
      <c r="C76" s="158" t="s">
        <v>212</v>
      </c>
      <c r="D76" s="159" t="s">
        <v>14</v>
      </c>
      <c r="E76" s="159" t="s">
        <v>14</v>
      </c>
      <c r="F76" s="159" t="s">
        <v>14</v>
      </c>
      <c r="G76" s="159" t="s">
        <v>14</v>
      </c>
      <c r="H76" s="159" t="s">
        <v>14</v>
      </c>
      <c r="I76" s="159" t="s">
        <v>15</v>
      </c>
      <c r="J76" s="159" t="s">
        <v>213</v>
      </c>
      <c r="K76" s="159"/>
    </row>
    <row r="77" spans="1:11" s="20" customFormat="1" ht="22.5" x14ac:dyDescent="0.2">
      <c r="A77" s="158" t="s">
        <v>267</v>
      </c>
      <c r="B77" s="158" t="s">
        <v>214</v>
      </c>
      <c r="C77" s="158" t="s">
        <v>187</v>
      </c>
      <c r="D77" s="159" t="s">
        <v>14</v>
      </c>
      <c r="E77" s="159" t="s">
        <v>14</v>
      </c>
      <c r="F77" s="159" t="s">
        <v>14</v>
      </c>
      <c r="G77" s="159" t="s">
        <v>14</v>
      </c>
      <c r="H77" s="159" t="s">
        <v>14</v>
      </c>
      <c r="I77" s="159" t="s">
        <v>15</v>
      </c>
      <c r="J77" s="159" t="s">
        <v>199</v>
      </c>
      <c r="K77" s="159"/>
    </row>
    <row r="78" spans="1:11" s="20" customFormat="1" ht="22.5" x14ac:dyDescent="0.2">
      <c r="A78" s="158" t="s">
        <v>267</v>
      </c>
      <c r="B78" s="158" t="s">
        <v>215</v>
      </c>
      <c r="C78" s="158" t="s">
        <v>121</v>
      </c>
      <c r="D78" s="159" t="s">
        <v>14</v>
      </c>
      <c r="E78" s="159" t="s">
        <v>14</v>
      </c>
      <c r="F78" s="159" t="s">
        <v>14</v>
      </c>
      <c r="G78" s="159" t="s">
        <v>14</v>
      </c>
      <c r="H78" s="159" t="s">
        <v>14</v>
      </c>
      <c r="I78" s="159" t="s">
        <v>15</v>
      </c>
      <c r="J78" s="159" t="s">
        <v>199</v>
      </c>
      <c r="K78" s="159"/>
    </row>
    <row r="79" spans="1:11" s="20" customFormat="1" ht="22.5" x14ac:dyDescent="0.2">
      <c r="A79" s="158" t="s">
        <v>267</v>
      </c>
      <c r="B79" s="158" t="s">
        <v>214</v>
      </c>
      <c r="C79" s="158" t="s">
        <v>187</v>
      </c>
      <c r="D79" s="159" t="s">
        <v>14</v>
      </c>
      <c r="E79" s="159" t="s">
        <v>14</v>
      </c>
      <c r="F79" s="159" t="s">
        <v>14</v>
      </c>
      <c r="G79" s="159" t="s">
        <v>14</v>
      </c>
      <c r="H79" s="159" t="s">
        <v>14</v>
      </c>
      <c r="I79" s="159" t="s">
        <v>15</v>
      </c>
      <c r="J79" s="159" t="s">
        <v>199</v>
      </c>
      <c r="K79" s="159"/>
    </row>
    <row r="80" spans="1:11" s="20" customFormat="1" ht="22.5" x14ac:dyDescent="0.2">
      <c r="A80" s="158" t="s">
        <v>267</v>
      </c>
      <c r="B80" s="158" t="s">
        <v>216</v>
      </c>
      <c r="C80" s="158" t="s">
        <v>176</v>
      </c>
      <c r="D80" s="159" t="s">
        <v>14</v>
      </c>
      <c r="E80" s="159" t="s">
        <v>14</v>
      </c>
      <c r="F80" s="159" t="s">
        <v>14</v>
      </c>
      <c r="G80" s="159" t="s">
        <v>14</v>
      </c>
      <c r="H80" s="159" t="s">
        <v>14</v>
      </c>
      <c r="I80" s="159" t="s">
        <v>15</v>
      </c>
      <c r="J80" s="159" t="s">
        <v>199</v>
      </c>
      <c r="K80" s="159" t="s">
        <v>204</v>
      </c>
    </row>
    <row r="81" spans="1:11" s="20" customFormat="1" ht="22.5" x14ac:dyDescent="0.2">
      <c r="A81" s="158" t="s">
        <v>267</v>
      </c>
      <c r="B81" s="158" t="s">
        <v>217</v>
      </c>
      <c r="C81" s="158" t="s">
        <v>206</v>
      </c>
      <c r="D81" s="159" t="s">
        <v>14</v>
      </c>
      <c r="E81" s="159" t="s">
        <v>14</v>
      </c>
      <c r="F81" s="159" t="s">
        <v>14</v>
      </c>
      <c r="G81" s="159" t="s">
        <v>14</v>
      </c>
      <c r="H81" s="159" t="s">
        <v>14</v>
      </c>
      <c r="I81" s="159" t="s">
        <v>15</v>
      </c>
      <c r="J81" s="159" t="s">
        <v>199</v>
      </c>
      <c r="K81" s="159" t="s">
        <v>204</v>
      </c>
    </row>
    <row r="82" spans="1:11" s="20" customFormat="1" ht="33.75" x14ac:dyDescent="0.2">
      <c r="A82" s="158" t="s">
        <v>267</v>
      </c>
      <c r="B82" s="158" t="s">
        <v>218</v>
      </c>
      <c r="C82" s="158" t="s">
        <v>189</v>
      </c>
      <c r="D82" s="159" t="s">
        <v>14</v>
      </c>
      <c r="E82" s="159" t="s">
        <v>14</v>
      </c>
      <c r="F82" s="159" t="s">
        <v>14</v>
      </c>
      <c r="G82" s="159" t="s">
        <v>14</v>
      </c>
      <c r="H82" s="159" t="s">
        <v>14</v>
      </c>
      <c r="I82" s="159" t="s">
        <v>15</v>
      </c>
      <c r="J82" s="159" t="s">
        <v>199</v>
      </c>
      <c r="K82" s="159"/>
    </row>
    <row r="83" spans="1:11" s="20" customFormat="1" ht="22.5" x14ac:dyDescent="0.2">
      <c r="A83" s="158" t="s">
        <v>267</v>
      </c>
      <c r="B83" s="158" t="s">
        <v>219</v>
      </c>
      <c r="C83" s="158" t="s">
        <v>176</v>
      </c>
      <c r="D83" s="159" t="s">
        <v>14</v>
      </c>
      <c r="E83" s="159" t="s">
        <v>14</v>
      </c>
      <c r="F83" s="159" t="s">
        <v>14</v>
      </c>
      <c r="G83" s="159" t="s">
        <v>14</v>
      </c>
      <c r="H83" s="159" t="s">
        <v>14</v>
      </c>
      <c r="I83" s="159" t="s">
        <v>15</v>
      </c>
      <c r="J83" s="159" t="s">
        <v>199</v>
      </c>
      <c r="K83" s="159"/>
    </row>
    <row r="84" spans="1:11" s="20" customFormat="1" ht="22.5" x14ac:dyDescent="0.2">
      <c r="A84" s="158" t="s">
        <v>267</v>
      </c>
      <c r="B84" s="158" t="s">
        <v>220</v>
      </c>
      <c r="C84" s="158" t="s">
        <v>206</v>
      </c>
      <c r="D84" s="159" t="s">
        <v>14</v>
      </c>
      <c r="E84" s="159" t="s">
        <v>14</v>
      </c>
      <c r="F84" s="159" t="s">
        <v>14</v>
      </c>
      <c r="G84" s="159" t="s">
        <v>14</v>
      </c>
      <c r="H84" s="159" t="s">
        <v>14</v>
      </c>
      <c r="I84" s="159" t="s">
        <v>15</v>
      </c>
      <c r="J84" s="159" t="s">
        <v>199</v>
      </c>
      <c r="K84" s="159" t="s">
        <v>221</v>
      </c>
    </row>
    <row r="85" spans="1:11" s="20" customFormat="1" ht="22.5" x14ac:dyDescent="0.2">
      <c r="A85" s="158" t="s">
        <v>267</v>
      </c>
      <c r="B85" s="158" t="s">
        <v>222</v>
      </c>
      <c r="C85" s="158" t="s">
        <v>60</v>
      </c>
      <c r="D85" s="159" t="s">
        <v>14</v>
      </c>
      <c r="E85" s="159" t="s">
        <v>13</v>
      </c>
      <c r="F85" s="159" t="s">
        <v>14</v>
      </c>
      <c r="G85" s="159" t="s">
        <v>13</v>
      </c>
      <c r="H85" s="159" t="s">
        <v>14</v>
      </c>
      <c r="I85" s="159" t="s">
        <v>15</v>
      </c>
      <c r="J85" s="159" t="s">
        <v>199</v>
      </c>
      <c r="K85" s="159"/>
    </row>
    <row r="86" spans="1:11" s="20" customFormat="1" ht="22.5" x14ac:dyDescent="0.2">
      <c r="A86" s="158" t="s">
        <v>267</v>
      </c>
      <c r="B86" s="158" t="s">
        <v>223</v>
      </c>
      <c r="C86" s="158" t="s">
        <v>12</v>
      </c>
      <c r="D86" s="159" t="s">
        <v>14</v>
      </c>
      <c r="E86" s="159" t="s">
        <v>13</v>
      </c>
      <c r="F86" s="159" t="s">
        <v>14</v>
      </c>
      <c r="G86" s="159" t="s">
        <v>13</v>
      </c>
      <c r="H86" s="159" t="s">
        <v>14</v>
      </c>
      <c r="I86" s="159" t="s">
        <v>15</v>
      </c>
      <c r="J86" s="159" t="s">
        <v>199</v>
      </c>
      <c r="K86" s="159"/>
    </row>
    <row r="87" spans="1:11" s="20" customFormat="1" ht="24.6" customHeight="1" x14ac:dyDescent="0.2">
      <c r="A87" s="158" t="s">
        <v>267</v>
      </c>
      <c r="B87" s="158" t="s">
        <v>224</v>
      </c>
      <c r="C87" s="158" t="s">
        <v>114</v>
      </c>
      <c r="D87" s="159" t="s">
        <v>14</v>
      </c>
      <c r="E87" s="159" t="s">
        <v>14</v>
      </c>
      <c r="F87" s="159" t="s">
        <v>14</v>
      </c>
      <c r="G87" s="159" t="s">
        <v>14</v>
      </c>
      <c r="H87" s="159" t="s">
        <v>14</v>
      </c>
      <c r="I87" s="159" t="s">
        <v>15</v>
      </c>
      <c r="J87" s="159" t="s">
        <v>225</v>
      </c>
      <c r="K87" s="159"/>
    </row>
    <row r="88" spans="1:11" s="20" customFormat="1" ht="45" customHeight="1" x14ac:dyDescent="0.2">
      <c r="A88" s="158" t="s">
        <v>267</v>
      </c>
      <c r="B88" s="158" t="s">
        <v>226</v>
      </c>
      <c r="C88" s="158" t="s">
        <v>34</v>
      </c>
      <c r="D88" s="159" t="s">
        <v>14</v>
      </c>
      <c r="E88" s="159" t="s">
        <v>13</v>
      </c>
      <c r="F88" s="159" t="s">
        <v>14</v>
      </c>
      <c r="G88" s="159" t="s">
        <v>13</v>
      </c>
      <c r="H88" s="159" t="s">
        <v>14</v>
      </c>
      <c r="I88" s="159" t="s">
        <v>15</v>
      </c>
      <c r="J88" s="159" t="s">
        <v>227</v>
      </c>
      <c r="K88" s="159" t="s">
        <v>228</v>
      </c>
    </row>
    <row r="89" spans="1:11" s="20" customFormat="1" ht="33.75" x14ac:dyDescent="0.2">
      <c r="A89" s="158" t="s">
        <v>267</v>
      </c>
      <c r="B89" s="158" t="s">
        <v>229</v>
      </c>
      <c r="C89" s="158" t="s">
        <v>121</v>
      </c>
      <c r="D89" s="159" t="s">
        <v>14</v>
      </c>
      <c r="E89" s="159" t="s">
        <v>14</v>
      </c>
      <c r="F89" s="159" t="s">
        <v>14</v>
      </c>
      <c r="G89" s="159" t="s">
        <v>14</v>
      </c>
      <c r="H89" s="159" t="s">
        <v>14</v>
      </c>
      <c r="I89" s="159" t="s">
        <v>15</v>
      </c>
      <c r="J89" s="159" t="s">
        <v>199</v>
      </c>
      <c r="K89" s="159" t="s">
        <v>230</v>
      </c>
    </row>
    <row r="90" spans="1:11" s="20" customFormat="1" ht="68.45" customHeight="1" x14ac:dyDescent="0.2">
      <c r="A90" s="158" t="s">
        <v>267</v>
      </c>
      <c r="B90" s="158" t="s">
        <v>231</v>
      </c>
      <c r="C90" s="158" t="s">
        <v>189</v>
      </c>
      <c r="D90" s="159" t="s">
        <v>14</v>
      </c>
      <c r="E90" s="159" t="s">
        <v>14</v>
      </c>
      <c r="F90" s="159" t="s">
        <v>13</v>
      </c>
      <c r="G90" s="159" t="s">
        <v>14</v>
      </c>
      <c r="H90" s="159" t="s">
        <v>14</v>
      </c>
      <c r="I90" s="159" t="s">
        <v>15</v>
      </c>
      <c r="J90" s="159" t="s">
        <v>232</v>
      </c>
      <c r="K90" s="159" t="s">
        <v>233</v>
      </c>
    </row>
    <row r="91" spans="1:11" s="20" customFormat="1" ht="77.45" customHeight="1" x14ac:dyDescent="0.2">
      <c r="A91" s="158" t="s">
        <v>267</v>
      </c>
      <c r="B91" s="158" t="s">
        <v>234</v>
      </c>
      <c r="C91" s="158" t="s">
        <v>35</v>
      </c>
      <c r="D91" s="159" t="s">
        <v>14</v>
      </c>
      <c r="E91" s="159" t="s">
        <v>14</v>
      </c>
      <c r="F91" s="159" t="s">
        <v>13</v>
      </c>
      <c r="G91" s="159" t="s">
        <v>14</v>
      </c>
      <c r="H91" s="159" t="s">
        <v>14</v>
      </c>
      <c r="I91" s="159" t="s">
        <v>15</v>
      </c>
      <c r="J91" s="159" t="s">
        <v>232</v>
      </c>
      <c r="K91" s="159" t="s">
        <v>235</v>
      </c>
    </row>
    <row r="92" spans="1:11" s="20" customFormat="1" ht="65.45" customHeight="1" x14ac:dyDescent="0.2">
      <c r="A92" s="158" t="s">
        <v>267</v>
      </c>
      <c r="B92" s="158" t="s">
        <v>236</v>
      </c>
      <c r="C92" s="158" t="s">
        <v>35</v>
      </c>
      <c r="D92" s="159" t="s">
        <v>14</v>
      </c>
      <c r="E92" s="159" t="s">
        <v>14</v>
      </c>
      <c r="F92" s="159" t="s">
        <v>13</v>
      </c>
      <c r="G92" s="159" t="s">
        <v>14</v>
      </c>
      <c r="H92" s="159" t="s">
        <v>14</v>
      </c>
      <c r="I92" s="159" t="s">
        <v>15</v>
      </c>
      <c r="J92" s="159" t="s">
        <v>232</v>
      </c>
      <c r="K92" s="159" t="s">
        <v>237</v>
      </c>
    </row>
    <row r="93" spans="1:11" s="20" customFormat="1" x14ac:dyDescent="0.2">
      <c r="A93" s="158" t="s">
        <v>267</v>
      </c>
      <c r="B93" s="158" t="s">
        <v>238</v>
      </c>
      <c r="C93" s="158" t="s">
        <v>176</v>
      </c>
      <c r="D93" s="159" t="s">
        <v>14</v>
      </c>
      <c r="E93" s="159" t="s">
        <v>14</v>
      </c>
      <c r="F93" s="159" t="s">
        <v>13</v>
      </c>
      <c r="G93" s="159" t="s">
        <v>14</v>
      </c>
      <c r="H93" s="159" t="s">
        <v>14</v>
      </c>
      <c r="I93" s="159" t="s">
        <v>15</v>
      </c>
      <c r="J93" s="159"/>
      <c r="K93" s="159"/>
    </row>
    <row r="94" spans="1:11" s="20" customFormat="1" ht="57" customHeight="1" x14ac:dyDescent="0.2">
      <c r="A94" s="158" t="s">
        <v>267</v>
      </c>
      <c r="B94" s="158" t="s">
        <v>239</v>
      </c>
      <c r="C94" s="158" t="s">
        <v>134</v>
      </c>
      <c r="D94" s="159" t="s">
        <v>13</v>
      </c>
      <c r="E94" s="159" t="s">
        <v>14</v>
      </c>
      <c r="F94" s="159" t="s">
        <v>14</v>
      </c>
      <c r="G94" s="159" t="s">
        <v>14</v>
      </c>
      <c r="H94" s="159" t="s">
        <v>14</v>
      </c>
      <c r="I94" s="159" t="s">
        <v>15</v>
      </c>
      <c r="J94" s="159" t="s">
        <v>240</v>
      </c>
      <c r="K94" s="159" t="s">
        <v>241</v>
      </c>
    </row>
    <row r="95" spans="1:11" s="20" customFormat="1" ht="67.900000000000006" customHeight="1" x14ac:dyDescent="0.2">
      <c r="A95" s="158" t="s">
        <v>267</v>
      </c>
      <c r="B95" s="158" t="s">
        <v>242</v>
      </c>
      <c r="C95" s="158" t="s">
        <v>243</v>
      </c>
      <c r="D95" s="159" t="s">
        <v>14</v>
      </c>
      <c r="E95" s="159" t="s">
        <v>13</v>
      </c>
      <c r="F95" s="159" t="s">
        <v>13</v>
      </c>
      <c r="G95" s="159" t="s">
        <v>14</v>
      </c>
      <c r="H95" s="159" t="s">
        <v>14</v>
      </c>
      <c r="I95" s="159" t="s">
        <v>15</v>
      </c>
      <c r="J95" s="159"/>
      <c r="K95" s="159" t="s">
        <v>244</v>
      </c>
    </row>
    <row r="96" spans="1:11" s="20" customFormat="1" ht="49.9" customHeight="1" x14ac:dyDescent="0.2">
      <c r="A96" s="158" t="s">
        <v>267</v>
      </c>
      <c r="B96" s="158" t="s">
        <v>245</v>
      </c>
      <c r="C96" s="158" t="s">
        <v>243</v>
      </c>
      <c r="D96" s="159" t="s">
        <v>13</v>
      </c>
      <c r="E96" s="159" t="s">
        <v>13</v>
      </c>
      <c r="F96" s="159" t="s">
        <v>14</v>
      </c>
      <c r="G96" s="159" t="s">
        <v>14</v>
      </c>
      <c r="H96" s="159" t="s">
        <v>14</v>
      </c>
      <c r="I96" s="159" t="s">
        <v>15</v>
      </c>
      <c r="J96" s="159"/>
      <c r="K96" s="159" t="s">
        <v>246</v>
      </c>
    </row>
    <row r="97" spans="1:11" s="20" customFormat="1" ht="46.15" customHeight="1" x14ac:dyDescent="0.2">
      <c r="A97" s="158" t="s">
        <v>267</v>
      </c>
      <c r="B97" s="158" t="s">
        <v>247</v>
      </c>
      <c r="C97" s="158" t="s">
        <v>189</v>
      </c>
      <c r="D97" s="159" t="s">
        <v>13</v>
      </c>
      <c r="E97" s="159" t="s">
        <v>14</v>
      </c>
      <c r="F97" s="159" t="s">
        <v>14</v>
      </c>
      <c r="G97" s="159" t="s">
        <v>14</v>
      </c>
      <c r="H97" s="159" t="s">
        <v>14</v>
      </c>
      <c r="I97" s="159" t="s">
        <v>15</v>
      </c>
      <c r="J97" s="159"/>
      <c r="K97" s="159" t="s">
        <v>248</v>
      </c>
    </row>
    <row r="98" spans="1:11" s="20" customFormat="1" ht="33.75" x14ac:dyDescent="0.2">
      <c r="A98" s="158" t="s">
        <v>267</v>
      </c>
      <c r="B98" s="158" t="s">
        <v>249</v>
      </c>
      <c r="C98" s="158" t="s">
        <v>56</v>
      </c>
      <c r="D98" s="159" t="s">
        <v>13</v>
      </c>
      <c r="E98" s="159" t="s">
        <v>14</v>
      </c>
      <c r="F98" s="159" t="s">
        <v>14</v>
      </c>
      <c r="G98" s="159" t="s">
        <v>14</v>
      </c>
      <c r="H98" s="159" t="s">
        <v>14</v>
      </c>
      <c r="I98" s="159" t="s">
        <v>125</v>
      </c>
      <c r="J98" s="159"/>
      <c r="K98" s="159" t="s">
        <v>250</v>
      </c>
    </row>
    <row r="99" spans="1:11" s="20" customFormat="1" ht="22.5" x14ac:dyDescent="0.2">
      <c r="A99" s="158" t="s">
        <v>267</v>
      </c>
      <c r="B99" s="158" t="s">
        <v>251</v>
      </c>
      <c r="C99" s="158" t="s">
        <v>176</v>
      </c>
      <c r="D99" s="159" t="s">
        <v>13</v>
      </c>
      <c r="E99" s="159" t="s">
        <v>13</v>
      </c>
      <c r="F99" s="159" t="s">
        <v>13</v>
      </c>
      <c r="G99" s="159" t="s">
        <v>14</v>
      </c>
      <c r="H99" s="159" t="s">
        <v>13</v>
      </c>
      <c r="I99" s="159" t="s">
        <v>15</v>
      </c>
      <c r="J99" s="159"/>
      <c r="K99" s="159"/>
    </row>
    <row r="100" spans="1:11" s="20" customFormat="1" ht="33.75" x14ac:dyDescent="0.2">
      <c r="A100" s="158" t="s">
        <v>267</v>
      </c>
      <c r="B100" s="158" t="s">
        <v>252</v>
      </c>
      <c r="C100" s="158" t="s">
        <v>243</v>
      </c>
      <c r="D100" s="159" t="s">
        <v>253</v>
      </c>
      <c r="E100" s="159" t="s">
        <v>253</v>
      </c>
      <c r="F100" s="159" t="s">
        <v>253</v>
      </c>
      <c r="G100" s="159" t="s">
        <v>14</v>
      </c>
      <c r="H100" s="159" t="s">
        <v>253</v>
      </c>
      <c r="I100" s="159" t="s">
        <v>40</v>
      </c>
      <c r="J100" s="159"/>
      <c r="K100" s="159" t="s">
        <v>254</v>
      </c>
    </row>
    <row r="101" spans="1:11" s="20" customFormat="1" ht="22.5" x14ac:dyDescent="0.2">
      <c r="A101" s="158" t="s">
        <v>267</v>
      </c>
      <c r="B101" s="158" t="s">
        <v>255</v>
      </c>
      <c r="C101" s="158" t="s">
        <v>176</v>
      </c>
      <c r="D101" s="159" t="s">
        <v>14</v>
      </c>
      <c r="E101" s="159" t="s">
        <v>253</v>
      </c>
      <c r="F101" s="159" t="s">
        <v>14</v>
      </c>
      <c r="G101" s="159" t="s">
        <v>14</v>
      </c>
      <c r="H101" s="159" t="s">
        <v>253</v>
      </c>
      <c r="I101" s="159" t="s">
        <v>256</v>
      </c>
      <c r="J101" s="159"/>
      <c r="K101" s="159"/>
    </row>
    <row r="102" spans="1:11" s="20" customFormat="1" ht="22.5" x14ac:dyDescent="0.2">
      <c r="A102" s="158" t="s">
        <v>267</v>
      </c>
      <c r="B102" s="158" t="s">
        <v>257</v>
      </c>
      <c r="C102" s="158" t="s">
        <v>176</v>
      </c>
      <c r="D102" s="159" t="s">
        <v>14</v>
      </c>
      <c r="E102" s="159" t="s">
        <v>253</v>
      </c>
      <c r="F102" s="159" t="s">
        <v>14</v>
      </c>
      <c r="G102" s="159" t="s">
        <v>14</v>
      </c>
      <c r="H102" s="159" t="s">
        <v>253</v>
      </c>
      <c r="I102" s="159" t="s">
        <v>256</v>
      </c>
      <c r="J102" s="159"/>
      <c r="K102" s="159"/>
    </row>
    <row r="103" spans="1:11" s="20" customFormat="1" ht="33.75" x14ac:dyDescent="0.2">
      <c r="A103" s="158" t="s">
        <v>267</v>
      </c>
      <c r="B103" s="158" t="s">
        <v>258</v>
      </c>
      <c r="C103" s="158" t="s">
        <v>243</v>
      </c>
      <c r="D103" s="159" t="s">
        <v>14</v>
      </c>
      <c r="E103" s="159" t="s">
        <v>253</v>
      </c>
      <c r="F103" s="159" t="s">
        <v>14</v>
      </c>
      <c r="G103" s="159" t="s">
        <v>14</v>
      </c>
      <c r="H103" s="159" t="s">
        <v>253</v>
      </c>
      <c r="I103" s="159" t="s">
        <v>256</v>
      </c>
      <c r="J103" s="159"/>
      <c r="K103" s="159"/>
    </row>
    <row r="104" spans="1:11" s="20" customFormat="1" ht="33.75" x14ac:dyDescent="0.2">
      <c r="A104" s="158" t="s">
        <v>267</v>
      </c>
      <c r="B104" s="158" t="s">
        <v>259</v>
      </c>
      <c r="C104" s="158" t="s">
        <v>243</v>
      </c>
      <c r="D104" s="159" t="s">
        <v>13</v>
      </c>
      <c r="E104" s="159" t="s">
        <v>14</v>
      </c>
      <c r="F104" s="159" t="s">
        <v>14</v>
      </c>
      <c r="G104" s="159" t="s">
        <v>14</v>
      </c>
      <c r="H104" s="159" t="s">
        <v>13</v>
      </c>
      <c r="I104" s="159" t="s">
        <v>40</v>
      </c>
      <c r="J104" s="159"/>
      <c r="K104" s="159"/>
    </row>
    <row r="105" spans="1:11" s="20" customFormat="1" ht="33.75" x14ac:dyDescent="0.2">
      <c r="A105" s="158" t="s">
        <v>267</v>
      </c>
      <c r="B105" s="158" t="s">
        <v>260</v>
      </c>
      <c r="C105" s="158" t="s">
        <v>243</v>
      </c>
      <c r="D105" s="159" t="s">
        <v>253</v>
      </c>
      <c r="E105" s="159" t="s">
        <v>253</v>
      </c>
      <c r="F105" s="159" t="s">
        <v>253</v>
      </c>
      <c r="G105" s="159" t="s">
        <v>14</v>
      </c>
      <c r="H105" s="159" t="s">
        <v>253</v>
      </c>
      <c r="I105" s="159" t="s">
        <v>256</v>
      </c>
      <c r="J105" s="159"/>
      <c r="K105" s="159"/>
    </row>
    <row r="106" spans="1:11" s="20" customFormat="1" ht="33.75" x14ac:dyDescent="0.2">
      <c r="A106" s="158" t="s">
        <v>267</v>
      </c>
      <c r="B106" s="158" t="s">
        <v>261</v>
      </c>
      <c r="C106" s="158" t="s">
        <v>243</v>
      </c>
      <c r="D106" s="159" t="s">
        <v>13</v>
      </c>
      <c r="E106" s="159" t="s">
        <v>13</v>
      </c>
      <c r="F106" s="159" t="s">
        <v>13</v>
      </c>
      <c r="G106" s="159" t="s">
        <v>14</v>
      </c>
      <c r="H106" s="159" t="s">
        <v>13</v>
      </c>
      <c r="I106" s="159" t="s">
        <v>40</v>
      </c>
      <c r="J106" s="159"/>
      <c r="K106" s="159"/>
    </row>
    <row r="107" spans="1:11" s="20" customFormat="1" x14ac:dyDescent="0.2">
      <c r="A107" s="158" t="s">
        <v>267</v>
      </c>
      <c r="B107" s="158" t="s">
        <v>262</v>
      </c>
      <c r="C107" s="158" t="s">
        <v>176</v>
      </c>
      <c r="D107" s="159" t="s">
        <v>14</v>
      </c>
      <c r="E107" s="159" t="s">
        <v>13</v>
      </c>
      <c r="F107" s="159" t="s">
        <v>13</v>
      </c>
      <c r="G107" s="159" t="s">
        <v>14</v>
      </c>
      <c r="H107" s="159" t="s">
        <v>13</v>
      </c>
      <c r="I107" s="159" t="s">
        <v>40</v>
      </c>
      <c r="J107" s="159"/>
      <c r="K107" s="159" t="s">
        <v>263</v>
      </c>
    </row>
    <row r="108" spans="1:11" s="20" customFormat="1" ht="33.75" x14ac:dyDescent="0.2">
      <c r="A108" s="158" t="s">
        <v>267</v>
      </c>
      <c r="B108" s="158" t="s">
        <v>264</v>
      </c>
      <c r="C108" s="158" t="s">
        <v>243</v>
      </c>
      <c r="D108" s="159" t="s">
        <v>14</v>
      </c>
      <c r="E108" s="159" t="s">
        <v>14</v>
      </c>
      <c r="F108" s="159" t="s">
        <v>14</v>
      </c>
      <c r="G108" s="159" t="s">
        <v>14</v>
      </c>
      <c r="H108" s="159" t="s">
        <v>14</v>
      </c>
      <c r="I108" s="159" t="s">
        <v>40</v>
      </c>
      <c r="J108" s="159"/>
      <c r="K108" s="159" t="s">
        <v>265</v>
      </c>
    </row>
    <row r="109" spans="1:11" s="20" customFormat="1" ht="33.75" x14ac:dyDescent="0.2">
      <c r="A109" s="158" t="s">
        <v>278</v>
      </c>
      <c r="B109" s="158" t="s">
        <v>268</v>
      </c>
      <c r="C109" s="158" t="s">
        <v>269</v>
      </c>
      <c r="D109" s="159" t="s">
        <v>14</v>
      </c>
      <c r="E109" s="159" t="s">
        <v>14</v>
      </c>
      <c r="F109" s="159" t="s">
        <v>14</v>
      </c>
      <c r="G109" s="159" t="s">
        <v>14</v>
      </c>
      <c r="H109" s="159" t="s">
        <v>14</v>
      </c>
      <c r="I109" s="159" t="s">
        <v>15</v>
      </c>
      <c r="J109" s="159" t="s">
        <v>270</v>
      </c>
      <c r="K109" s="159"/>
    </row>
    <row r="110" spans="1:11" s="20" customFormat="1" ht="34.9" customHeight="1" x14ac:dyDescent="0.2">
      <c r="A110" s="158" t="s">
        <v>278</v>
      </c>
      <c r="B110" s="158" t="s">
        <v>271</v>
      </c>
      <c r="C110" s="158" t="s">
        <v>269</v>
      </c>
      <c r="D110" s="159" t="s">
        <v>14</v>
      </c>
      <c r="E110" s="159" t="s">
        <v>14</v>
      </c>
      <c r="F110" s="159" t="s">
        <v>14</v>
      </c>
      <c r="G110" s="159" t="s">
        <v>14</v>
      </c>
      <c r="H110" s="159" t="s">
        <v>14</v>
      </c>
      <c r="I110" s="159" t="s">
        <v>15</v>
      </c>
      <c r="J110" s="159" t="s">
        <v>272</v>
      </c>
      <c r="K110" s="159"/>
    </row>
    <row r="111" spans="1:11" s="20" customFormat="1" ht="36" customHeight="1" x14ac:dyDescent="0.2">
      <c r="A111" s="158" t="s">
        <v>278</v>
      </c>
      <c r="B111" s="158" t="s">
        <v>273</v>
      </c>
      <c r="C111" s="158" t="s">
        <v>269</v>
      </c>
      <c r="D111" s="159" t="s">
        <v>14</v>
      </c>
      <c r="E111" s="159" t="s">
        <v>14</v>
      </c>
      <c r="F111" s="159" t="s">
        <v>14</v>
      </c>
      <c r="G111" s="159" t="s">
        <v>14</v>
      </c>
      <c r="H111" s="159" t="s">
        <v>14</v>
      </c>
      <c r="I111" s="159" t="s">
        <v>15</v>
      </c>
      <c r="J111" s="159" t="s">
        <v>272</v>
      </c>
      <c r="K111" s="159"/>
    </row>
    <row r="112" spans="1:11" s="20" customFormat="1" ht="36" customHeight="1" x14ac:dyDescent="0.2">
      <c r="A112" s="158" t="s">
        <v>278</v>
      </c>
      <c r="B112" s="158" t="s">
        <v>274</v>
      </c>
      <c r="C112" s="158" t="s">
        <v>269</v>
      </c>
      <c r="D112" s="159" t="s">
        <v>14</v>
      </c>
      <c r="E112" s="159" t="s">
        <v>14</v>
      </c>
      <c r="F112" s="159" t="s">
        <v>14</v>
      </c>
      <c r="G112" s="159" t="s">
        <v>14</v>
      </c>
      <c r="H112" s="159" t="s">
        <v>14</v>
      </c>
      <c r="I112" s="159" t="s">
        <v>15</v>
      </c>
      <c r="J112" s="159" t="s">
        <v>275</v>
      </c>
      <c r="K112" s="159"/>
    </row>
    <row r="113" spans="1:11" s="20" customFormat="1" x14ac:dyDescent="0.2">
      <c r="A113" s="158" t="s">
        <v>278</v>
      </c>
      <c r="B113" s="158" t="s">
        <v>276</v>
      </c>
      <c r="C113" s="158" t="s">
        <v>121</v>
      </c>
      <c r="D113" s="159" t="s">
        <v>13</v>
      </c>
      <c r="E113" s="159" t="s">
        <v>14</v>
      </c>
      <c r="F113" s="159" t="s">
        <v>14</v>
      </c>
      <c r="G113" s="159" t="s">
        <v>13</v>
      </c>
      <c r="H113" s="159" t="s">
        <v>14</v>
      </c>
      <c r="I113" s="159" t="s">
        <v>15</v>
      </c>
      <c r="J113" s="159" t="s">
        <v>277</v>
      </c>
      <c r="K113" s="159"/>
    </row>
    <row r="114" spans="1:11" s="20" customFormat="1" ht="34.9" customHeight="1" x14ac:dyDescent="0.2">
      <c r="A114" s="158" t="s">
        <v>631</v>
      </c>
      <c r="B114" s="158" t="s">
        <v>623</v>
      </c>
      <c r="C114" s="158" t="s">
        <v>402</v>
      </c>
      <c r="D114" s="159" t="s">
        <v>13</v>
      </c>
      <c r="E114" s="159" t="s">
        <v>14</v>
      </c>
      <c r="F114" s="159" t="s">
        <v>13</v>
      </c>
      <c r="G114" s="159" t="s">
        <v>35</v>
      </c>
      <c r="H114" s="159" t="s">
        <v>14</v>
      </c>
      <c r="I114" s="159" t="s">
        <v>15</v>
      </c>
      <c r="J114" s="159" t="s">
        <v>624</v>
      </c>
      <c r="K114" s="159" t="s">
        <v>625</v>
      </c>
    </row>
    <row r="115" spans="1:11" s="20" customFormat="1" ht="22.5" x14ac:dyDescent="0.2">
      <c r="A115" s="158" t="s">
        <v>631</v>
      </c>
      <c r="B115" s="158" t="s">
        <v>626</v>
      </c>
      <c r="C115" s="158" t="s">
        <v>402</v>
      </c>
      <c r="D115" s="159" t="s">
        <v>13</v>
      </c>
      <c r="E115" s="159" t="s">
        <v>14</v>
      </c>
      <c r="F115" s="159" t="s">
        <v>13</v>
      </c>
      <c r="G115" s="159" t="s">
        <v>35</v>
      </c>
      <c r="H115" s="159" t="s">
        <v>14</v>
      </c>
      <c r="I115" s="159" t="s">
        <v>15</v>
      </c>
      <c r="J115" s="159" t="s">
        <v>624</v>
      </c>
      <c r="K115" s="159" t="s">
        <v>627</v>
      </c>
    </row>
    <row r="116" spans="1:11" s="20" customFormat="1" ht="40.15" customHeight="1" x14ac:dyDescent="0.2">
      <c r="A116" s="158" t="s">
        <v>631</v>
      </c>
      <c r="B116" s="158" t="s">
        <v>628</v>
      </c>
      <c r="C116" s="158" t="s">
        <v>402</v>
      </c>
      <c r="D116" s="159" t="s">
        <v>13</v>
      </c>
      <c r="E116" s="159" t="s">
        <v>14</v>
      </c>
      <c r="F116" s="159" t="s">
        <v>13</v>
      </c>
      <c r="G116" s="159" t="s">
        <v>35</v>
      </c>
      <c r="H116" s="159" t="s">
        <v>14</v>
      </c>
      <c r="I116" s="159" t="s">
        <v>15</v>
      </c>
      <c r="J116" s="159" t="s">
        <v>624</v>
      </c>
      <c r="K116" s="159" t="s">
        <v>629</v>
      </c>
    </row>
    <row r="117" spans="1:11" s="20" customFormat="1" ht="36.6" customHeight="1" x14ac:dyDescent="0.2">
      <c r="A117" s="158" t="s">
        <v>631</v>
      </c>
      <c r="B117" s="158" t="s">
        <v>520</v>
      </c>
      <c r="C117" s="158" t="s">
        <v>121</v>
      </c>
      <c r="D117" s="159" t="s">
        <v>13</v>
      </c>
      <c r="E117" s="159" t="s">
        <v>14</v>
      </c>
      <c r="F117" s="159" t="s">
        <v>13</v>
      </c>
      <c r="G117" s="159" t="s">
        <v>35</v>
      </c>
      <c r="H117" s="159" t="s">
        <v>14</v>
      </c>
      <c r="I117" s="159" t="s">
        <v>15</v>
      </c>
      <c r="J117" s="159" t="s">
        <v>624</v>
      </c>
      <c r="K117" s="159" t="s">
        <v>630</v>
      </c>
    </row>
    <row r="118" spans="1:11" s="20" customFormat="1" ht="36.6" customHeight="1" x14ac:dyDescent="0.2">
      <c r="A118" s="158" t="s">
        <v>281</v>
      </c>
      <c r="B118" s="158" t="s">
        <v>282</v>
      </c>
      <c r="C118" s="158" t="s">
        <v>75</v>
      </c>
      <c r="D118" s="159" t="s">
        <v>35</v>
      </c>
      <c r="E118" s="159" t="s">
        <v>14</v>
      </c>
      <c r="F118" s="159" t="s">
        <v>14</v>
      </c>
      <c r="G118" s="159" t="s">
        <v>14</v>
      </c>
      <c r="H118" s="159" t="s">
        <v>14</v>
      </c>
      <c r="I118" s="159" t="s">
        <v>15</v>
      </c>
      <c r="J118" s="159" t="s">
        <v>283</v>
      </c>
      <c r="K118" s="159" t="s">
        <v>284</v>
      </c>
    </row>
    <row r="119" spans="1:11" s="20" customFormat="1" ht="35.450000000000003" customHeight="1" x14ac:dyDescent="0.2">
      <c r="A119" s="158" t="s">
        <v>281</v>
      </c>
      <c r="B119" s="158" t="s">
        <v>285</v>
      </c>
      <c r="C119" s="158" t="s">
        <v>386</v>
      </c>
      <c r="D119" s="159" t="s">
        <v>35</v>
      </c>
      <c r="E119" s="159" t="s">
        <v>14</v>
      </c>
      <c r="F119" s="159" t="s">
        <v>14</v>
      </c>
      <c r="G119" s="159" t="s">
        <v>14</v>
      </c>
      <c r="H119" s="159" t="s">
        <v>14</v>
      </c>
      <c r="I119" s="159" t="s">
        <v>15</v>
      </c>
      <c r="J119" s="159" t="s">
        <v>286</v>
      </c>
      <c r="K119" s="159" t="s">
        <v>284</v>
      </c>
    </row>
    <row r="120" spans="1:11" s="20" customFormat="1" ht="33.75" x14ac:dyDescent="0.2">
      <c r="A120" s="158" t="s">
        <v>281</v>
      </c>
      <c r="B120" s="158" t="s">
        <v>287</v>
      </c>
      <c r="C120" s="158" t="s">
        <v>372</v>
      </c>
      <c r="D120" s="159" t="s">
        <v>35</v>
      </c>
      <c r="E120" s="159" t="s">
        <v>14</v>
      </c>
      <c r="F120" s="159" t="s">
        <v>14</v>
      </c>
      <c r="G120" s="159" t="s">
        <v>14</v>
      </c>
      <c r="H120" s="159" t="s">
        <v>14</v>
      </c>
      <c r="I120" s="159" t="s">
        <v>15</v>
      </c>
      <c r="J120" s="159" t="s">
        <v>288</v>
      </c>
      <c r="K120" s="159"/>
    </row>
    <row r="121" spans="1:11" s="20" customFormat="1" ht="33.75" x14ac:dyDescent="0.2">
      <c r="A121" s="158" t="s">
        <v>281</v>
      </c>
      <c r="B121" s="158" t="s">
        <v>289</v>
      </c>
      <c r="C121" s="158" t="s">
        <v>372</v>
      </c>
      <c r="D121" s="159" t="s">
        <v>35</v>
      </c>
      <c r="E121" s="159" t="s">
        <v>14</v>
      </c>
      <c r="F121" s="159" t="s">
        <v>14</v>
      </c>
      <c r="G121" s="159" t="s">
        <v>14</v>
      </c>
      <c r="H121" s="159" t="s">
        <v>14</v>
      </c>
      <c r="I121" s="159" t="s">
        <v>15</v>
      </c>
      <c r="J121" s="159" t="s">
        <v>288</v>
      </c>
      <c r="K121" s="159"/>
    </row>
    <row r="122" spans="1:11" s="20" customFormat="1" ht="33.75" x14ac:dyDescent="0.2">
      <c r="A122" s="158" t="s">
        <v>281</v>
      </c>
      <c r="B122" s="158" t="s">
        <v>290</v>
      </c>
      <c r="C122" s="158" t="s">
        <v>372</v>
      </c>
      <c r="D122" s="159" t="s">
        <v>35</v>
      </c>
      <c r="E122" s="159" t="s">
        <v>14</v>
      </c>
      <c r="F122" s="159" t="s">
        <v>14</v>
      </c>
      <c r="G122" s="159" t="s">
        <v>14</v>
      </c>
      <c r="H122" s="159" t="s">
        <v>14</v>
      </c>
      <c r="I122" s="159" t="s">
        <v>15</v>
      </c>
      <c r="J122" s="159" t="s">
        <v>288</v>
      </c>
      <c r="K122" s="159"/>
    </row>
    <row r="123" spans="1:11" s="20" customFormat="1" ht="36" customHeight="1" x14ac:dyDescent="0.2">
      <c r="A123" s="158" t="s">
        <v>281</v>
      </c>
      <c r="B123" s="158" t="s">
        <v>291</v>
      </c>
      <c r="C123" s="158" t="s">
        <v>372</v>
      </c>
      <c r="D123" s="159" t="s">
        <v>35</v>
      </c>
      <c r="E123" s="159" t="s">
        <v>14</v>
      </c>
      <c r="F123" s="159" t="s">
        <v>14</v>
      </c>
      <c r="G123" s="159" t="s">
        <v>14</v>
      </c>
      <c r="H123" s="159" t="s">
        <v>14</v>
      </c>
      <c r="I123" s="159" t="s">
        <v>15</v>
      </c>
      <c r="J123" s="159" t="s">
        <v>288</v>
      </c>
      <c r="K123" s="159"/>
    </row>
    <row r="124" spans="1:11" s="20" customFormat="1" ht="36.6" customHeight="1" x14ac:dyDescent="0.2">
      <c r="A124" s="158" t="s">
        <v>281</v>
      </c>
      <c r="B124" s="158" t="s">
        <v>292</v>
      </c>
      <c r="C124" s="158" t="s">
        <v>39</v>
      </c>
      <c r="D124" s="159" t="s">
        <v>35</v>
      </c>
      <c r="E124" s="159" t="s">
        <v>14</v>
      </c>
      <c r="F124" s="159" t="s">
        <v>14</v>
      </c>
      <c r="G124" s="159" t="s">
        <v>14</v>
      </c>
      <c r="H124" s="159" t="s">
        <v>14</v>
      </c>
      <c r="I124" s="159" t="s">
        <v>15</v>
      </c>
      <c r="J124" s="159"/>
      <c r="K124" s="159" t="s">
        <v>293</v>
      </c>
    </row>
    <row r="125" spans="1:11" s="20" customFormat="1" ht="25.15" customHeight="1" x14ac:dyDescent="0.2">
      <c r="A125" s="158" t="s">
        <v>281</v>
      </c>
      <c r="B125" s="158" t="s">
        <v>294</v>
      </c>
      <c r="C125" s="158" t="s">
        <v>39</v>
      </c>
      <c r="D125" s="159" t="s">
        <v>35</v>
      </c>
      <c r="E125" s="159" t="s">
        <v>14</v>
      </c>
      <c r="F125" s="159" t="s">
        <v>14</v>
      </c>
      <c r="G125" s="159" t="s">
        <v>14</v>
      </c>
      <c r="H125" s="159" t="s">
        <v>14</v>
      </c>
      <c r="I125" s="159" t="s">
        <v>15</v>
      </c>
      <c r="J125" s="159"/>
      <c r="K125" s="159" t="s">
        <v>295</v>
      </c>
    </row>
    <row r="126" spans="1:11" s="20" customFormat="1" ht="25.9" customHeight="1" x14ac:dyDescent="0.2">
      <c r="A126" s="158" t="s">
        <v>281</v>
      </c>
      <c r="B126" s="158" t="s">
        <v>296</v>
      </c>
      <c r="C126" s="158" t="s">
        <v>39</v>
      </c>
      <c r="D126" s="159" t="s">
        <v>35</v>
      </c>
      <c r="E126" s="159" t="s">
        <v>14</v>
      </c>
      <c r="F126" s="159" t="s">
        <v>14</v>
      </c>
      <c r="G126" s="159" t="s">
        <v>14</v>
      </c>
      <c r="H126" s="159" t="s">
        <v>14</v>
      </c>
      <c r="I126" s="159" t="s">
        <v>15</v>
      </c>
      <c r="J126" s="159"/>
      <c r="K126" s="159" t="s">
        <v>297</v>
      </c>
    </row>
    <row r="127" spans="1:11" s="20" customFormat="1" ht="25.15" customHeight="1" x14ac:dyDescent="0.2">
      <c r="A127" s="158" t="s">
        <v>355</v>
      </c>
      <c r="B127" s="158" t="s">
        <v>298</v>
      </c>
      <c r="C127" s="158" t="s">
        <v>97</v>
      </c>
      <c r="D127" s="159" t="s">
        <v>43</v>
      </c>
      <c r="E127" s="159" t="s">
        <v>43</v>
      </c>
      <c r="F127" s="159" t="s">
        <v>43</v>
      </c>
      <c r="G127" s="159" t="s">
        <v>43</v>
      </c>
      <c r="H127" s="159" t="s">
        <v>43</v>
      </c>
      <c r="I127" s="159" t="s">
        <v>15</v>
      </c>
      <c r="J127" s="159" t="s">
        <v>299</v>
      </c>
      <c r="K127" s="159" t="s">
        <v>300</v>
      </c>
    </row>
    <row r="128" spans="1:11" s="20" customFormat="1" ht="45" x14ac:dyDescent="0.2">
      <c r="A128" s="158" t="s">
        <v>355</v>
      </c>
      <c r="B128" s="158" t="s">
        <v>301</v>
      </c>
      <c r="C128" s="158" t="s">
        <v>97</v>
      </c>
      <c r="D128" s="159" t="s">
        <v>43</v>
      </c>
      <c r="E128" s="159" t="s">
        <v>43</v>
      </c>
      <c r="F128" s="159" t="s">
        <v>43</v>
      </c>
      <c r="G128" s="159" t="s">
        <v>43</v>
      </c>
      <c r="H128" s="159" t="s">
        <v>43</v>
      </c>
      <c r="I128" s="159" t="s">
        <v>15</v>
      </c>
      <c r="J128" s="159" t="s">
        <v>299</v>
      </c>
      <c r="K128" s="159" t="s">
        <v>300</v>
      </c>
    </row>
    <row r="129" spans="1:11" s="20" customFormat="1" ht="36" customHeight="1" x14ac:dyDescent="0.2">
      <c r="A129" s="158" t="s">
        <v>355</v>
      </c>
      <c r="B129" s="158" t="s">
        <v>302</v>
      </c>
      <c r="C129" s="158" t="s">
        <v>97</v>
      </c>
      <c r="D129" s="159" t="s">
        <v>43</v>
      </c>
      <c r="E129" s="159" t="s">
        <v>303</v>
      </c>
      <c r="F129" s="159" t="s">
        <v>43</v>
      </c>
      <c r="G129" s="159" t="s">
        <v>43</v>
      </c>
      <c r="H129" s="159" t="s">
        <v>43</v>
      </c>
      <c r="I129" s="159" t="s">
        <v>15</v>
      </c>
      <c r="J129" s="159" t="s">
        <v>632</v>
      </c>
      <c r="K129" s="159" t="s">
        <v>304</v>
      </c>
    </row>
    <row r="130" spans="1:11" s="20" customFormat="1" ht="33.75" x14ac:dyDescent="0.2">
      <c r="A130" s="158" t="s">
        <v>355</v>
      </c>
      <c r="B130" s="158" t="s">
        <v>305</v>
      </c>
      <c r="C130" s="158" t="s">
        <v>97</v>
      </c>
      <c r="D130" s="159" t="s">
        <v>43</v>
      </c>
      <c r="E130" s="159" t="s">
        <v>43</v>
      </c>
      <c r="F130" s="159" t="s">
        <v>43</v>
      </c>
      <c r="G130" s="159" t="s">
        <v>43</v>
      </c>
      <c r="H130" s="159" t="s">
        <v>306</v>
      </c>
      <c r="I130" s="159" t="s">
        <v>15</v>
      </c>
      <c r="J130" s="159" t="s">
        <v>307</v>
      </c>
      <c r="K130" s="159" t="s">
        <v>308</v>
      </c>
    </row>
    <row r="131" spans="1:11" s="20" customFormat="1" ht="22.5" x14ac:dyDescent="0.2">
      <c r="A131" s="158" t="s">
        <v>355</v>
      </c>
      <c r="B131" s="158" t="s">
        <v>309</v>
      </c>
      <c r="C131" s="158" t="s">
        <v>97</v>
      </c>
      <c r="D131" s="159" t="s">
        <v>43</v>
      </c>
      <c r="E131" s="159" t="s">
        <v>43</v>
      </c>
      <c r="F131" s="159" t="s">
        <v>43</v>
      </c>
      <c r="G131" s="159" t="s">
        <v>43</v>
      </c>
      <c r="H131" s="159" t="s">
        <v>43</v>
      </c>
      <c r="I131" s="159" t="s">
        <v>15</v>
      </c>
      <c r="J131" s="159" t="s">
        <v>633</v>
      </c>
      <c r="K131" s="159"/>
    </row>
    <row r="132" spans="1:11" s="20" customFormat="1" ht="22.5" x14ac:dyDescent="0.2">
      <c r="A132" s="158" t="s">
        <v>355</v>
      </c>
      <c r="B132" s="158" t="s">
        <v>310</v>
      </c>
      <c r="C132" s="158" t="s">
        <v>97</v>
      </c>
      <c r="D132" s="159" t="s">
        <v>43</v>
      </c>
      <c r="E132" s="159" t="s">
        <v>43</v>
      </c>
      <c r="F132" s="159" t="s">
        <v>43</v>
      </c>
      <c r="G132" s="159" t="s">
        <v>43</v>
      </c>
      <c r="H132" s="159" t="s">
        <v>43</v>
      </c>
      <c r="I132" s="159" t="s">
        <v>15</v>
      </c>
      <c r="J132" s="159" t="s">
        <v>633</v>
      </c>
      <c r="K132" s="159"/>
    </row>
    <row r="133" spans="1:11" s="20" customFormat="1" ht="33.75" x14ac:dyDescent="0.2">
      <c r="A133" s="158" t="s">
        <v>355</v>
      </c>
      <c r="B133" s="158" t="s">
        <v>311</v>
      </c>
      <c r="C133" s="158" t="s">
        <v>97</v>
      </c>
      <c r="D133" s="159" t="s">
        <v>306</v>
      </c>
      <c r="E133" s="159" t="s">
        <v>303</v>
      </c>
      <c r="F133" s="159" t="s">
        <v>43</v>
      </c>
      <c r="G133" s="159" t="s">
        <v>43</v>
      </c>
      <c r="H133" s="159" t="s">
        <v>306</v>
      </c>
      <c r="I133" s="159" t="s">
        <v>15</v>
      </c>
      <c r="J133" s="159" t="s">
        <v>634</v>
      </c>
      <c r="K133" s="159" t="s">
        <v>312</v>
      </c>
    </row>
    <row r="134" spans="1:11" s="20" customFormat="1" ht="22.5" x14ac:dyDescent="0.2">
      <c r="A134" s="158" t="s">
        <v>355</v>
      </c>
      <c r="B134" s="158" t="s">
        <v>313</v>
      </c>
      <c r="C134" s="158" t="s">
        <v>97</v>
      </c>
      <c r="D134" s="159" t="s">
        <v>306</v>
      </c>
      <c r="E134" s="159" t="s">
        <v>314</v>
      </c>
      <c r="F134" s="159" t="s">
        <v>43</v>
      </c>
      <c r="G134" s="159" t="s">
        <v>43</v>
      </c>
      <c r="H134" s="159" t="s">
        <v>43</v>
      </c>
      <c r="I134" s="159" t="s">
        <v>15</v>
      </c>
      <c r="J134" s="159" t="s">
        <v>635</v>
      </c>
      <c r="K134" s="159" t="s">
        <v>315</v>
      </c>
    </row>
    <row r="135" spans="1:11" s="20" customFormat="1" ht="22.5" x14ac:dyDescent="0.2">
      <c r="A135" s="158" t="s">
        <v>355</v>
      </c>
      <c r="B135" s="158" t="s">
        <v>316</v>
      </c>
      <c r="C135" s="158" t="s">
        <v>97</v>
      </c>
      <c r="D135" s="159" t="s">
        <v>306</v>
      </c>
      <c r="E135" s="159" t="s">
        <v>314</v>
      </c>
      <c r="F135" s="159" t="s">
        <v>43</v>
      </c>
      <c r="G135" s="159" t="s">
        <v>43</v>
      </c>
      <c r="H135" s="159" t="s">
        <v>306</v>
      </c>
      <c r="I135" s="159" t="s">
        <v>15</v>
      </c>
      <c r="J135" s="159" t="s">
        <v>636</v>
      </c>
      <c r="K135" s="159" t="s">
        <v>317</v>
      </c>
    </row>
    <row r="136" spans="1:11" s="20" customFormat="1" ht="26.45" customHeight="1" x14ac:dyDescent="0.2">
      <c r="A136" s="158" t="s">
        <v>355</v>
      </c>
      <c r="B136" s="158" t="s">
        <v>318</v>
      </c>
      <c r="C136" s="158" t="s">
        <v>75</v>
      </c>
      <c r="D136" s="159" t="s">
        <v>43</v>
      </c>
      <c r="E136" s="159" t="s">
        <v>43</v>
      </c>
      <c r="F136" s="159" t="s">
        <v>43</v>
      </c>
      <c r="G136" s="159" t="s">
        <v>43</v>
      </c>
      <c r="H136" s="159" t="s">
        <v>43</v>
      </c>
      <c r="I136" s="159" t="s">
        <v>15</v>
      </c>
      <c r="J136" s="159" t="s">
        <v>319</v>
      </c>
      <c r="K136" s="159" t="s">
        <v>320</v>
      </c>
    </row>
    <row r="137" spans="1:11" s="20" customFormat="1" ht="33.75" x14ac:dyDescent="0.2">
      <c r="A137" s="158" t="s">
        <v>355</v>
      </c>
      <c r="B137" s="158" t="s">
        <v>173</v>
      </c>
      <c r="C137" s="158" t="s">
        <v>75</v>
      </c>
      <c r="D137" s="159" t="s">
        <v>306</v>
      </c>
      <c r="E137" s="159" t="s">
        <v>43</v>
      </c>
      <c r="F137" s="159" t="s">
        <v>43</v>
      </c>
      <c r="G137" s="159" t="s">
        <v>43</v>
      </c>
      <c r="H137" s="159" t="s">
        <v>306</v>
      </c>
      <c r="I137" s="159" t="s">
        <v>15</v>
      </c>
      <c r="J137" s="159" t="s">
        <v>321</v>
      </c>
      <c r="K137" s="159" t="s">
        <v>322</v>
      </c>
    </row>
    <row r="138" spans="1:11" s="20" customFormat="1" ht="22.5" x14ac:dyDescent="0.2">
      <c r="A138" s="158" t="s">
        <v>355</v>
      </c>
      <c r="B138" s="158" t="s">
        <v>323</v>
      </c>
      <c r="C138" s="158" t="s">
        <v>75</v>
      </c>
      <c r="D138" s="159" t="s">
        <v>306</v>
      </c>
      <c r="E138" s="159" t="s">
        <v>43</v>
      </c>
      <c r="F138" s="159" t="s">
        <v>43</v>
      </c>
      <c r="G138" s="159" t="s">
        <v>43</v>
      </c>
      <c r="H138" s="159" t="s">
        <v>306</v>
      </c>
      <c r="I138" s="159" t="s">
        <v>15</v>
      </c>
      <c r="J138" s="159" t="s">
        <v>319</v>
      </c>
      <c r="K138" s="159" t="s">
        <v>324</v>
      </c>
    </row>
    <row r="139" spans="1:11" s="20" customFormat="1" ht="35.450000000000003" customHeight="1" x14ac:dyDescent="0.2">
      <c r="A139" s="158" t="s">
        <v>355</v>
      </c>
      <c r="B139" s="158" t="s">
        <v>325</v>
      </c>
      <c r="C139" s="158" t="s">
        <v>75</v>
      </c>
      <c r="D139" s="159" t="s">
        <v>306</v>
      </c>
      <c r="E139" s="159" t="s">
        <v>43</v>
      </c>
      <c r="F139" s="159" t="s">
        <v>43</v>
      </c>
      <c r="G139" s="159" t="s">
        <v>43</v>
      </c>
      <c r="H139" s="159" t="s">
        <v>43</v>
      </c>
      <c r="I139" s="159" t="s">
        <v>15</v>
      </c>
      <c r="J139" s="159" t="s">
        <v>319</v>
      </c>
      <c r="K139" s="159" t="s">
        <v>326</v>
      </c>
    </row>
    <row r="140" spans="1:11" s="20" customFormat="1" ht="33.75" x14ac:dyDescent="0.2">
      <c r="A140" s="158" t="s">
        <v>355</v>
      </c>
      <c r="B140" s="158" t="s">
        <v>327</v>
      </c>
      <c r="C140" s="158" t="s">
        <v>328</v>
      </c>
      <c r="D140" s="159" t="s">
        <v>306</v>
      </c>
      <c r="E140" s="159" t="s">
        <v>303</v>
      </c>
      <c r="F140" s="159" t="s">
        <v>43</v>
      </c>
      <c r="G140" s="159" t="s">
        <v>43</v>
      </c>
      <c r="H140" s="159" t="s">
        <v>43</v>
      </c>
      <c r="I140" s="159" t="s">
        <v>15</v>
      </c>
      <c r="J140" s="159" t="s">
        <v>637</v>
      </c>
      <c r="K140" s="159" t="s">
        <v>329</v>
      </c>
    </row>
    <row r="141" spans="1:11" s="20" customFormat="1" ht="27.6" customHeight="1" x14ac:dyDescent="0.2">
      <c r="A141" s="158" t="s">
        <v>355</v>
      </c>
      <c r="B141" s="158" t="s">
        <v>330</v>
      </c>
      <c r="C141" s="158" t="s">
        <v>164</v>
      </c>
      <c r="D141" s="159" t="s">
        <v>306</v>
      </c>
      <c r="E141" s="159" t="s">
        <v>43</v>
      </c>
      <c r="F141" s="159" t="s">
        <v>43</v>
      </c>
      <c r="G141" s="159" t="s">
        <v>43</v>
      </c>
      <c r="H141" s="159" t="s">
        <v>306</v>
      </c>
      <c r="I141" s="159" t="s">
        <v>15</v>
      </c>
      <c r="J141" s="159" t="s">
        <v>638</v>
      </c>
      <c r="K141" s="159" t="s">
        <v>331</v>
      </c>
    </row>
    <row r="142" spans="1:11" s="20" customFormat="1" ht="35.450000000000003" customHeight="1" x14ac:dyDescent="0.2">
      <c r="A142" s="158" t="s">
        <v>355</v>
      </c>
      <c r="B142" s="158" t="s">
        <v>332</v>
      </c>
      <c r="C142" s="158" t="s">
        <v>164</v>
      </c>
      <c r="D142" s="159" t="s">
        <v>306</v>
      </c>
      <c r="E142" s="159" t="s">
        <v>43</v>
      </c>
      <c r="F142" s="159" t="s">
        <v>43</v>
      </c>
      <c r="G142" s="159" t="s">
        <v>43</v>
      </c>
      <c r="H142" s="159" t="s">
        <v>306</v>
      </c>
      <c r="I142" s="159" t="s">
        <v>15</v>
      </c>
      <c r="J142" s="159" t="s">
        <v>638</v>
      </c>
      <c r="K142" s="159" t="s">
        <v>333</v>
      </c>
    </row>
    <row r="143" spans="1:11" s="20" customFormat="1" ht="26.45" customHeight="1" x14ac:dyDescent="0.2">
      <c r="A143" s="158" t="s">
        <v>355</v>
      </c>
      <c r="B143" s="158" t="s">
        <v>334</v>
      </c>
      <c r="C143" s="158" t="s">
        <v>88</v>
      </c>
      <c r="D143" s="159" t="s">
        <v>43</v>
      </c>
      <c r="E143" s="159" t="s">
        <v>43</v>
      </c>
      <c r="F143" s="159" t="s">
        <v>43</v>
      </c>
      <c r="G143" s="159" t="s">
        <v>43</v>
      </c>
      <c r="H143" s="159" t="s">
        <v>306</v>
      </c>
      <c r="I143" s="159" t="s">
        <v>15</v>
      </c>
      <c r="J143" s="159" t="s">
        <v>639</v>
      </c>
      <c r="K143" s="159" t="s">
        <v>335</v>
      </c>
    </row>
    <row r="144" spans="1:11" s="20" customFormat="1" ht="22.5" x14ac:dyDescent="0.2">
      <c r="A144" s="158" t="s">
        <v>355</v>
      </c>
      <c r="B144" s="158" t="s">
        <v>336</v>
      </c>
      <c r="C144" s="158" t="s">
        <v>88</v>
      </c>
      <c r="D144" s="159" t="s">
        <v>306</v>
      </c>
      <c r="E144" s="159" t="s">
        <v>43</v>
      </c>
      <c r="F144" s="159" t="s">
        <v>43</v>
      </c>
      <c r="G144" s="159" t="s">
        <v>43</v>
      </c>
      <c r="H144" s="159" t="s">
        <v>306</v>
      </c>
      <c r="I144" s="159" t="s">
        <v>15</v>
      </c>
      <c r="J144" s="159" t="s">
        <v>337</v>
      </c>
      <c r="K144" s="159" t="s">
        <v>338</v>
      </c>
    </row>
    <row r="145" spans="1:11" s="20" customFormat="1" ht="22.5" x14ac:dyDescent="0.2">
      <c r="A145" s="158" t="s">
        <v>355</v>
      </c>
      <c r="B145" s="158" t="s">
        <v>339</v>
      </c>
      <c r="C145" s="158" t="s">
        <v>212</v>
      </c>
      <c r="D145" s="159" t="s">
        <v>306</v>
      </c>
      <c r="E145" s="159" t="s">
        <v>43</v>
      </c>
      <c r="F145" s="159" t="s">
        <v>43</v>
      </c>
      <c r="G145" s="159" t="s">
        <v>43</v>
      </c>
      <c r="H145" s="159" t="s">
        <v>43</v>
      </c>
      <c r="I145" s="159" t="s">
        <v>15</v>
      </c>
      <c r="J145" s="159" t="s">
        <v>340</v>
      </c>
      <c r="K145" s="159" t="s">
        <v>341</v>
      </c>
    </row>
    <row r="146" spans="1:11" s="20" customFormat="1" ht="33.75" x14ac:dyDescent="0.2">
      <c r="A146" s="158" t="s">
        <v>355</v>
      </c>
      <c r="B146" s="158" t="s">
        <v>342</v>
      </c>
      <c r="C146" s="158" t="s">
        <v>97</v>
      </c>
      <c r="D146" s="159" t="s">
        <v>306</v>
      </c>
      <c r="E146" s="159" t="s">
        <v>43</v>
      </c>
      <c r="F146" s="159" t="s">
        <v>43</v>
      </c>
      <c r="G146" s="159" t="s">
        <v>43</v>
      </c>
      <c r="H146" s="159" t="s">
        <v>306</v>
      </c>
      <c r="I146" s="159" t="s">
        <v>15</v>
      </c>
      <c r="J146" s="159" t="s">
        <v>640</v>
      </c>
      <c r="K146" s="159" t="s">
        <v>343</v>
      </c>
    </row>
    <row r="147" spans="1:11" s="20" customFormat="1" ht="22.5" x14ac:dyDescent="0.2">
      <c r="A147" s="158" t="s">
        <v>355</v>
      </c>
      <c r="B147" s="158" t="s">
        <v>344</v>
      </c>
      <c r="C147" s="158" t="s">
        <v>75</v>
      </c>
      <c r="D147" s="159" t="s">
        <v>306</v>
      </c>
      <c r="E147" s="159" t="s">
        <v>43</v>
      </c>
      <c r="F147" s="159" t="s">
        <v>43</v>
      </c>
      <c r="G147" s="159" t="s">
        <v>43</v>
      </c>
      <c r="H147" s="159" t="s">
        <v>306</v>
      </c>
      <c r="I147" s="159" t="s">
        <v>15</v>
      </c>
      <c r="J147" s="159" t="s">
        <v>641</v>
      </c>
      <c r="K147" s="159" t="s">
        <v>345</v>
      </c>
    </row>
    <row r="148" spans="1:11" s="20" customFormat="1" x14ac:dyDescent="0.2">
      <c r="A148" s="158" t="s">
        <v>355</v>
      </c>
      <c r="B148" s="158" t="s">
        <v>346</v>
      </c>
      <c r="C148" s="158" t="s">
        <v>176</v>
      </c>
      <c r="D148" s="159" t="s">
        <v>306</v>
      </c>
      <c r="E148" s="159" t="s">
        <v>306</v>
      </c>
      <c r="F148" s="159" t="s">
        <v>43</v>
      </c>
      <c r="G148" s="159" t="s">
        <v>43</v>
      </c>
      <c r="H148" s="159" t="s">
        <v>306</v>
      </c>
      <c r="I148" s="159" t="s">
        <v>15</v>
      </c>
      <c r="J148" s="159"/>
      <c r="K148" s="159" t="s">
        <v>347</v>
      </c>
    </row>
    <row r="149" spans="1:11" s="20" customFormat="1" ht="33.6" customHeight="1" x14ac:dyDescent="0.2">
      <c r="A149" s="158" t="s">
        <v>355</v>
      </c>
      <c r="B149" s="158" t="s">
        <v>348</v>
      </c>
      <c r="C149" s="158" t="s">
        <v>212</v>
      </c>
      <c r="D149" s="159" t="s">
        <v>306</v>
      </c>
      <c r="E149" s="159" t="s">
        <v>43</v>
      </c>
      <c r="F149" s="159" t="s">
        <v>43</v>
      </c>
      <c r="G149" s="159" t="s">
        <v>43</v>
      </c>
      <c r="H149" s="159" t="s">
        <v>306</v>
      </c>
      <c r="I149" s="159" t="s">
        <v>15</v>
      </c>
      <c r="J149" s="159" t="s">
        <v>349</v>
      </c>
      <c r="K149" s="159" t="s">
        <v>350</v>
      </c>
    </row>
    <row r="150" spans="1:11" s="20" customFormat="1" ht="26.45" customHeight="1" x14ac:dyDescent="0.2">
      <c r="A150" s="158" t="s">
        <v>355</v>
      </c>
      <c r="B150" s="158" t="s">
        <v>351</v>
      </c>
      <c r="C150" s="158" t="s">
        <v>60</v>
      </c>
      <c r="D150" s="159" t="s">
        <v>306</v>
      </c>
      <c r="E150" s="159" t="s">
        <v>303</v>
      </c>
      <c r="F150" s="159" t="s">
        <v>43</v>
      </c>
      <c r="G150" s="159" t="s">
        <v>306</v>
      </c>
      <c r="H150" s="159" t="s">
        <v>306</v>
      </c>
      <c r="I150" s="159" t="s">
        <v>15</v>
      </c>
      <c r="J150" s="159" t="s">
        <v>337</v>
      </c>
      <c r="K150" s="159" t="s">
        <v>352</v>
      </c>
    </row>
    <row r="151" spans="1:11" s="20" customFormat="1" ht="69" customHeight="1" x14ac:dyDescent="0.2">
      <c r="A151" s="158" t="s">
        <v>355</v>
      </c>
      <c r="B151" s="158" t="s">
        <v>353</v>
      </c>
      <c r="C151" s="158" t="s">
        <v>75</v>
      </c>
      <c r="D151" s="159" t="s">
        <v>306</v>
      </c>
      <c r="E151" s="159" t="s">
        <v>303</v>
      </c>
      <c r="F151" s="159" t="s">
        <v>43</v>
      </c>
      <c r="G151" s="159" t="s">
        <v>43</v>
      </c>
      <c r="H151" s="159" t="s">
        <v>43</v>
      </c>
      <c r="I151" s="159" t="s">
        <v>15</v>
      </c>
      <c r="J151" s="159" t="s">
        <v>642</v>
      </c>
      <c r="K151" s="159" t="s">
        <v>354</v>
      </c>
    </row>
    <row r="152" spans="1:11" s="20" customFormat="1" ht="45" x14ac:dyDescent="0.2">
      <c r="A152" s="158" t="s">
        <v>357</v>
      </c>
      <c r="B152" s="158" t="s">
        <v>358</v>
      </c>
      <c r="C152" s="158" t="s">
        <v>212</v>
      </c>
      <c r="D152" s="159" t="s">
        <v>14</v>
      </c>
      <c r="E152" s="159" t="s">
        <v>14</v>
      </c>
      <c r="F152" s="159" t="s">
        <v>14</v>
      </c>
      <c r="G152" s="159" t="s">
        <v>14</v>
      </c>
      <c r="H152" s="159" t="s">
        <v>13</v>
      </c>
      <c r="I152" s="159" t="s">
        <v>15</v>
      </c>
      <c r="J152" s="159" t="s">
        <v>359</v>
      </c>
      <c r="K152" s="159" t="s">
        <v>360</v>
      </c>
    </row>
    <row r="153" spans="1:11" s="20" customFormat="1" ht="33.75" x14ac:dyDescent="0.2">
      <c r="A153" s="158" t="s">
        <v>357</v>
      </c>
      <c r="B153" s="158" t="s">
        <v>361</v>
      </c>
      <c r="C153" s="158" t="s">
        <v>114</v>
      </c>
      <c r="D153" s="159" t="s">
        <v>14</v>
      </c>
      <c r="E153" s="159" t="s">
        <v>14</v>
      </c>
      <c r="F153" s="159" t="s">
        <v>14</v>
      </c>
      <c r="G153" s="159" t="s">
        <v>14</v>
      </c>
      <c r="H153" s="159" t="s">
        <v>13</v>
      </c>
      <c r="I153" s="159" t="s">
        <v>15</v>
      </c>
      <c r="J153" s="159" t="s">
        <v>362</v>
      </c>
      <c r="K153" s="159" t="s">
        <v>363</v>
      </c>
    </row>
    <row r="154" spans="1:11" s="20" customFormat="1" ht="33.75" x14ac:dyDescent="0.2">
      <c r="A154" s="158" t="s">
        <v>357</v>
      </c>
      <c r="B154" s="158" t="s">
        <v>364</v>
      </c>
      <c r="C154" s="158" t="s">
        <v>206</v>
      </c>
      <c r="D154" s="159" t="s">
        <v>14</v>
      </c>
      <c r="E154" s="159" t="s">
        <v>14</v>
      </c>
      <c r="F154" s="159" t="s">
        <v>14</v>
      </c>
      <c r="G154" s="159" t="s">
        <v>13</v>
      </c>
      <c r="H154" s="159" t="s">
        <v>14</v>
      </c>
      <c r="I154" s="159" t="s">
        <v>15</v>
      </c>
      <c r="J154" s="159" t="s">
        <v>365</v>
      </c>
      <c r="K154" s="159" t="s">
        <v>366</v>
      </c>
    </row>
    <row r="155" spans="1:11" s="20" customFormat="1" ht="78.75" x14ac:dyDescent="0.2">
      <c r="A155" s="158" t="s">
        <v>357</v>
      </c>
      <c r="B155" s="158" t="s">
        <v>367</v>
      </c>
      <c r="C155" s="158" t="s">
        <v>187</v>
      </c>
      <c r="D155" s="159" t="s">
        <v>14</v>
      </c>
      <c r="E155" s="159" t="s">
        <v>14</v>
      </c>
      <c r="F155" s="159" t="s">
        <v>14</v>
      </c>
      <c r="G155" s="159" t="s">
        <v>14</v>
      </c>
      <c r="H155" s="159" t="s">
        <v>14</v>
      </c>
      <c r="I155" s="159" t="s">
        <v>15</v>
      </c>
      <c r="J155" s="159" t="s">
        <v>643</v>
      </c>
      <c r="K155" s="159" t="s">
        <v>368</v>
      </c>
    </row>
    <row r="156" spans="1:11" s="20" customFormat="1" ht="35.450000000000003" customHeight="1" x14ac:dyDescent="0.2">
      <c r="A156" s="158" t="s">
        <v>357</v>
      </c>
      <c r="B156" s="158" t="s">
        <v>369</v>
      </c>
      <c r="C156" s="158" t="s">
        <v>269</v>
      </c>
      <c r="D156" s="159" t="s">
        <v>14</v>
      </c>
      <c r="E156" s="159" t="s">
        <v>14</v>
      </c>
      <c r="F156" s="159" t="s">
        <v>14</v>
      </c>
      <c r="G156" s="159" t="s">
        <v>14</v>
      </c>
      <c r="H156" s="159" t="s">
        <v>14</v>
      </c>
      <c r="I156" s="159" t="s">
        <v>15</v>
      </c>
      <c r="J156" s="159" t="s">
        <v>644</v>
      </c>
      <c r="K156" s="159" t="s">
        <v>370</v>
      </c>
    </row>
    <row r="157" spans="1:11" s="20" customFormat="1" ht="33.6" customHeight="1" x14ac:dyDescent="0.2">
      <c r="A157" s="158" t="s">
        <v>357</v>
      </c>
      <c r="B157" s="158" t="s">
        <v>371</v>
      </c>
      <c r="C157" s="158" t="s">
        <v>372</v>
      </c>
      <c r="D157" s="159" t="s">
        <v>14</v>
      </c>
      <c r="E157" s="159" t="s">
        <v>14</v>
      </c>
      <c r="F157" s="159" t="s">
        <v>14</v>
      </c>
      <c r="G157" s="159" t="s">
        <v>14</v>
      </c>
      <c r="H157" s="159" t="s">
        <v>14</v>
      </c>
      <c r="I157" s="159" t="s">
        <v>15</v>
      </c>
      <c r="J157" s="159" t="s">
        <v>373</v>
      </c>
      <c r="K157" s="159" t="s">
        <v>374</v>
      </c>
    </row>
    <row r="158" spans="1:11" s="20" customFormat="1" ht="55.15" customHeight="1" x14ac:dyDescent="0.2">
      <c r="A158" s="158" t="s">
        <v>357</v>
      </c>
      <c r="B158" s="158" t="s">
        <v>375</v>
      </c>
      <c r="C158" s="158" t="s">
        <v>372</v>
      </c>
      <c r="D158" s="159" t="s">
        <v>14</v>
      </c>
      <c r="E158" s="159" t="s">
        <v>14</v>
      </c>
      <c r="F158" s="159" t="s">
        <v>14</v>
      </c>
      <c r="G158" s="159" t="s">
        <v>14</v>
      </c>
      <c r="H158" s="159" t="s">
        <v>14</v>
      </c>
      <c r="I158" s="159" t="s">
        <v>15</v>
      </c>
      <c r="J158" s="159" t="s">
        <v>645</v>
      </c>
      <c r="K158" s="159" t="s">
        <v>376</v>
      </c>
    </row>
    <row r="159" spans="1:11" s="20" customFormat="1" ht="25.9" customHeight="1" x14ac:dyDescent="0.2">
      <c r="A159" s="158" t="s">
        <v>357</v>
      </c>
      <c r="B159" s="158" t="s">
        <v>377</v>
      </c>
      <c r="C159" s="158" t="s">
        <v>372</v>
      </c>
      <c r="D159" s="159" t="s">
        <v>14</v>
      </c>
      <c r="E159" s="159" t="s">
        <v>14</v>
      </c>
      <c r="F159" s="159" t="s">
        <v>14</v>
      </c>
      <c r="G159" s="159" t="s">
        <v>14</v>
      </c>
      <c r="H159" s="159" t="s">
        <v>14</v>
      </c>
      <c r="I159" s="159" t="s">
        <v>15</v>
      </c>
      <c r="J159" s="159" t="s">
        <v>646</v>
      </c>
      <c r="K159" s="159" t="s">
        <v>378</v>
      </c>
    </row>
    <row r="160" spans="1:11" s="20" customFormat="1" ht="45" x14ac:dyDescent="0.2">
      <c r="A160" s="158" t="s">
        <v>357</v>
      </c>
      <c r="B160" s="158" t="s">
        <v>379</v>
      </c>
      <c r="C160" s="158" t="s">
        <v>372</v>
      </c>
      <c r="D160" s="159" t="s">
        <v>14</v>
      </c>
      <c r="E160" s="159" t="s">
        <v>14</v>
      </c>
      <c r="F160" s="159" t="s">
        <v>14</v>
      </c>
      <c r="G160" s="159" t="s">
        <v>14</v>
      </c>
      <c r="H160" s="159" t="s">
        <v>14</v>
      </c>
      <c r="I160" s="159" t="s">
        <v>15</v>
      </c>
      <c r="J160" s="159" t="s">
        <v>647</v>
      </c>
      <c r="K160" s="159" t="s">
        <v>378</v>
      </c>
    </row>
    <row r="161" spans="1:11" s="20" customFormat="1" ht="33.75" x14ac:dyDescent="0.2">
      <c r="A161" s="158" t="s">
        <v>357</v>
      </c>
      <c r="B161" s="158" t="s">
        <v>380</v>
      </c>
      <c r="C161" s="158" t="s">
        <v>372</v>
      </c>
      <c r="D161" s="159" t="s">
        <v>14</v>
      </c>
      <c r="E161" s="159" t="s">
        <v>14</v>
      </c>
      <c r="F161" s="159" t="s">
        <v>14</v>
      </c>
      <c r="G161" s="159" t="s">
        <v>14</v>
      </c>
      <c r="H161" s="159" t="s">
        <v>14</v>
      </c>
      <c r="I161" s="159" t="s">
        <v>15</v>
      </c>
      <c r="J161" s="159" t="s">
        <v>648</v>
      </c>
      <c r="K161" s="159" t="s">
        <v>381</v>
      </c>
    </row>
    <row r="162" spans="1:11" s="20" customFormat="1" ht="56.25" x14ac:dyDescent="0.2">
      <c r="A162" s="158" t="s">
        <v>357</v>
      </c>
      <c r="B162" s="158" t="s">
        <v>382</v>
      </c>
      <c r="C162" s="158" t="s">
        <v>372</v>
      </c>
      <c r="D162" s="159" t="s">
        <v>14</v>
      </c>
      <c r="E162" s="159" t="s">
        <v>14</v>
      </c>
      <c r="F162" s="159" t="s">
        <v>14</v>
      </c>
      <c r="G162" s="159" t="s">
        <v>14</v>
      </c>
      <c r="H162" s="159" t="s">
        <v>14</v>
      </c>
      <c r="I162" s="159" t="s">
        <v>15</v>
      </c>
      <c r="J162" s="159" t="s">
        <v>649</v>
      </c>
      <c r="K162" s="159" t="s">
        <v>383</v>
      </c>
    </row>
    <row r="163" spans="1:11" s="20" customFormat="1" ht="33.75" x14ac:dyDescent="0.2">
      <c r="A163" s="158" t="s">
        <v>357</v>
      </c>
      <c r="B163" s="158" t="s">
        <v>384</v>
      </c>
      <c r="C163" s="158" t="s">
        <v>372</v>
      </c>
      <c r="D163" s="159" t="s">
        <v>14</v>
      </c>
      <c r="E163" s="159" t="s">
        <v>14</v>
      </c>
      <c r="F163" s="159" t="s">
        <v>14</v>
      </c>
      <c r="G163" s="159" t="s">
        <v>14</v>
      </c>
      <c r="H163" s="159" t="s">
        <v>14</v>
      </c>
      <c r="I163" s="159" t="s">
        <v>15</v>
      </c>
      <c r="J163" s="159" t="s">
        <v>650</v>
      </c>
      <c r="K163" s="159" t="s">
        <v>385</v>
      </c>
    </row>
    <row r="164" spans="1:11" s="20" customFormat="1" ht="33.75" x14ac:dyDescent="0.2">
      <c r="A164" s="158" t="s">
        <v>357</v>
      </c>
      <c r="B164" s="158" t="s">
        <v>384</v>
      </c>
      <c r="C164" s="158" t="s">
        <v>386</v>
      </c>
      <c r="D164" s="159" t="s">
        <v>14</v>
      </c>
      <c r="E164" s="159" t="s">
        <v>14</v>
      </c>
      <c r="F164" s="159" t="s">
        <v>14</v>
      </c>
      <c r="G164" s="159" t="s">
        <v>14</v>
      </c>
      <c r="H164" s="159" t="s">
        <v>14</v>
      </c>
      <c r="I164" s="159" t="s">
        <v>15</v>
      </c>
      <c r="J164" s="159" t="s">
        <v>651</v>
      </c>
      <c r="K164" s="159" t="s">
        <v>387</v>
      </c>
    </row>
    <row r="165" spans="1:11" s="20" customFormat="1" ht="78.75" x14ac:dyDescent="0.2">
      <c r="A165" s="158" t="s">
        <v>357</v>
      </c>
      <c r="B165" s="158" t="s">
        <v>388</v>
      </c>
      <c r="C165" s="158" t="s">
        <v>39</v>
      </c>
      <c r="D165" s="159" t="s">
        <v>14</v>
      </c>
      <c r="E165" s="159" t="s">
        <v>14</v>
      </c>
      <c r="F165" s="159" t="s">
        <v>14</v>
      </c>
      <c r="G165" s="159" t="s">
        <v>13</v>
      </c>
      <c r="H165" s="159" t="s">
        <v>14</v>
      </c>
      <c r="I165" s="159" t="s">
        <v>15</v>
      </c>
      <c r="J165" s="159" t="s">
        <v>389</v>
      </c>
      <c r="K165" s="159" t="s">
        <v>390</v>
      </c>
    </row>
    <row r="166" spans="1:11" s="20" customFormat="1" ht="78.75" x14ac:dyDescent="0.2">
      <c r="A166" s="158" t="s">
        <v>357</v>
      </c>
      <c r="B166" s="158" t="s">
        <v>391</v>
      </c>
      <c r="C166" s="158" t="s">
        <v>39</v>
      </c>
      <c r="D166" s="159" t="s">
        <v>14</v>
      </c>
      <c r="E166" s="159" t="s">
        <v>14</v>
      </c>
      <c r="F166" s="159" t="s">
        <v>14</v>
      </c>
      <c r="G166" s="159" t="s">
        <v>14</v>
      </c>
      <c r="H166" s="159" t="s">
        <v>13</v>
      </c>
      <c r="I166" s="159" t="s">
        <v>15</v>
      </c>
      <c r="J166" s="159" t="s">
        <v>392</v>
      </c>
      <c r="K166" s="159" t="s">
        <v>393</v>
      </c>
    </row>
    <row r="167" spans="1:11" s="20" customFormat="1" ht="56.25" x14ac:dyDescent="0.2">
      <c r="A167" s="158" t="s">
        <v>398</v>
      </c>
      <c r="B167" s="158" t="s">
        <v>394</v>
      </c>
      <c r="C167" s="158" t="s">
        <v>269</v>
      </c>
      <c r="D167" s="159"/>
      <c r="E167" s="159" t="s">
        <v>253</v>
      </c>
      <c r="F167" s="159" t="s">
        <v>253</v>
      </c>
      <c r="G167" s="159" t="s">
        <v>14</v>
      </c>
      <c r="H167" s="159" t="s">
        <v>14</v>
      </c>
      <c r="I167" s="159" t="s">
        <v>256</v>
      </c>
      <c r="J167" s="159"/>
      <c r="K167" s="159" t="s">
        <v>652</v>
      </c>
    </row>
    <row r="168" spans="1:11" s="20" customFormat="1" ht="33.75" x14ac:dyDescent="0.2">
      <c r="A168" s="158" t="s">
        <v>398</v>
      </c>
      <c r="B168" s="158" t="s">
        <v>395</v>
      </c>
      <c r="C168" s="158" t="s">
        <v>269</v>
      </c>
      <c r="D168" s="159"/>
      <c r="E168" s="159" t="s">
        <v>253</v>
      </c>
      <c r="F168" s="159" t="s">
        <v>253</v>
      </c>
      <c r="G168" s="159" t="s">
        <v>14</v>
      </c>
      <c r="H168" s="159" t="s">
        <v>14</v>
      </c>
      <c r="I168" s="159" t="s">
        <v>396</v>
      </c>
      <c r="J168" s="159"/>
      <c r="K168" s="159" t="s">
        <v>397</v>
      </c>
    </row>
    <row r="169" spans="1:11" s="20" customFormat="1" ht="26.45" customHeight="1" x14ac:dyDescent="0.2">
      <c r="A169" s="158" t="s">
        <v>399</v>
      </c>
      <c r="B169" s="158" t="s">
        <v>400</v>
      </c>
      <c r="C169" s="158" t="s">
        <v>269</v>
      </c>
      <c r="D169" s="159" t="s">
        <v>14</v>
      </c>
      <c r="E169" s="159" t="s">
        <v>14</v>
      </c>
      <c r="F169" s="159" t="s">
        <v>14</v>
      </c>
      <c r="G169" s="159" t="s">
        <v>14</v>
      </c>
      <c r="H169" s="159" t="s">
        <v>13</v>
      </c>
      <c r="I169" s="159" t="s">
        <v>15</v>
      </c>
      <c r="J169" s="159"/>
      <c r="K169" s="159"/>
    </row>
    <row r="170" spans="1:11" s="20" customFormat="1" ht="45" x14ac:dyDescent="0.2">
      <c r="A170" s="158" t="s">
        <v>399</v>
      </c>
      <c r="B170" s="158" t="s">
        <v>401</v>
      </c>
      <c r="C170" s="158" t="s">
        <v>402</v>
      </c>
      <c r="D170" s="159" t="s">
        <v>14</v>
      </c>
      <c r="E170" s="159" t="s">
        <v>13</v>
      </c>
      <c r="F170" s="159" t="s">
        <v>14</v>
      </c>
      <c r="G170" s="159" t="s">
        <v>14</v>
      </c>
      <c r="H170" s="159" t="s">
        <v>13</v>
      </c>
      <c r="I170" s="159" t="s">
        <v>403</v>
      </c>
      <c r="J170" s="159"/>
      <c r="K170" s="159"/>
    </row>
    <row r="171" spans="1:11" s="20" customFormat="1" ht="22.5" x14ac:dyDescent="0.2">
      <c r="A171" s="158" t="s">
        <v>399</v>
      </c>
      <c r="B171" s="158" t="s">
        <v>404</v>
      </c>
      <c r="C171" s="158" t="s">
        <v>402</v>
      </c>
      <c r="D171" s="159" t="s">
        <v>14</v>
      </c>
      <c r="E171" s="159" t="s">
        <v>13</v>
      </c>
      <c r="F171" s="159" t="s">
        <v>14</v>
      </c>
      <c r="G171" s="159" t="s">
        <v>14</v>
      </c>
      <c r="H171" s="159" t="s">
        <v>13</v>
      </c>
      <c r="I171" s="159" t="s">
        <v>403</v>
      </c>
      <c r="J171" s="159"/>
      <c r="K171" s="159"/>
    </row>
    <row r="172" spans="1:11" s="20" customFormat="1" ht="33.75" x14ac:dyDescent="0.2">
      <c r="A172" s="158" t="s">
        <v>399</v>
      </c>
      <c r="B172" s="158" t="s">
        <v>405</v>
      </c>
      <c r="C172" s="158" t="s">
        <v>269</v>
      </c>
      <c r="D172" s="159" t="s">
        <v>14</v>
      </c>
      <c r="E172" s="159" t="s">
        <v>14</v>
      </c>
      <c r="F172" s="159" t="s">
        <v>14</v>
      </c>
      <c r="G172" s="159" t="s">
        <v>14</v>
      </c>
      <c r="H172" s="159" t="s">
        <v>13</v>
      </c>
      <c r="I172" s="159" t="s">
        <v>403</v>
      </c>
      <c r="J172" s="159"/>
      <c r="K172" s="159"/>
    </row>
    <row r="173" spans="1:11" s="20" customFormat="1" ht="33.75" x14ac:dyDescent="0.2">
      <c r="A173" s="158" t="s">
        <v>430</v>
      </c>
      <c r="B173" s="158" t="s">
        <v>406</v>
      </c>
      <c r="C173" s="158" t="s">
        <v>176</v>
      </c>
      <c r="D173" s="159" t="s">
        <v>13</v>
      </c>
      <c r="E173" s="159" t="s">
        <v>14</v>
      </c>
      <c r="F173" s="159" t="s">
        <v>14</v>
      </c>
      <c r="G173" s="159" t="s">
        <v>13</v>
      </c>
      <c r="H173" s="159" t="s">
        <v>14</v>
      </c>
      <c r="I173" s="159" t="s">
        <v>15</v>
      </c>
      <c r="J173" s="159" t="s">
        <v>407</v>
      </c>
      <c r="K173" s="159" t="s">
        <v>408</v>
      </c>
    </row>
    <row r="174" spans="1:11" s="20" customFormat="1" ht="34.15" customHeight="1" x14ac:dyDescent="0.2">
      <c r="A174" s="158" t="s">
        <v>430</v>
      </c>
      <c r="B174" s="158" t="s">
        <v>409</v>
      </c>
      <c r="C174" s="158" t="s">
        <v>97</v>
      </c>
      <c r="D174" s="159" t="s">
        <v>13</v>
      </c>
      <c r="E174" s="159" t="s">
        <v>14</v>
      </c>
      <c r="F174" s="159" t="s">
        <v>13</v>
      </c>
      <c r="G174" s="159" t="s">
        <v>13</v>
      </c>
      <c r="H174" s="159" t="s">
        <v>14</v>
      </c>
      <c r="I174" s="159" t="s">
        <v>15</v>
      </c>
      <c r="J174" s="159"/>
      <c r="K174" s="159"/>
    </row>
    <row r="175" spans="1:11" s="20" customFormat="1" ht="33.75" x14ac:dyDescent="0.2">
      <c r="A175" s="158" t="s">
        <v>430</v>
      </c>
      <c r="B175" s="158" t="s">
        <v>410</v>
      </c>
      <c r="C175" s="158" t="s">
        <v>97</v>
      </c>
      <c r="D175" s="159" t="s">
        <v>13</v>
      </c>
      <c r="E175" s="159" t="s">
        <v>14</v>
      </c>
      <c r="F175" s="159" t="s">
        <v>13</v>
      </c>
      <c r="G175" s="159" t="s">
        <v>13</v>
      </c>
      <c r="H175" s="159" t="s">
        <v>13</v>
      </c>
      <c r="I175" s="159" t="s">
        <v>15</v>
      </c>
      <c r="J175" s="159"/>
      <c r="K175" s="159"/>
    </row>
    <row r="176" spans="1:11" s="20" customFormat="1" ht="22.5" x14ac:dyDescent="0.2">
      <c r="A176" s="158" t="s">
        <v>430</v>
      </c>
      <c r="B176" s="158" t="s">
        <v>431</v>
      </c>
      <c r="C176" s="158" t="s">
        <v>206</v>
      </c>
      <c r="D176" s="159" t="s">
        <v>14</v>
      </c>
      <c r="E176" s="159" t="s">
        <v>14</v>
      </c>
      <c r="F176" s="159" t="s">
        <v>14</v>
      </c>
      <c r="G176" s="159" t="s">
        <v>13</v>
      </c>
      <c r="H176" s="159" t="s">
        <v>13</v>
      </c>
      <c r="I176" s="159" t="s">
        <v>40</v>
      </c>
      <c r="J176" s="159"/>
      <c r="K176" s="159" t="s">
        <v>411</v>
      </c>
    </row>
    <row r="177" spans="1:11" s="20" customFormat="1" x14ac:dyDescent="0.2">
      <c r="A177" s="158" t="s">
        <v>430</v>
      </c>
      <c r="B177" s="158" t="s">
        <v>432</v>
      </c>
      <c r="C177" s="158" t="s">
        <v>97</v>
      </c>
      <c r="D177" s="159" t="s">
        <v>14</v>
      </c>
      <c r="E177" s="159" t="s">
        <v>14</v>
      </c>
      <c r="F177" s="159" t="s">
        <v>14</v>
      </c>
      <c r="G177" s="159" t="s">
        <v>13</v>
      </c>
      <c r="H177" s="159" t="s">
        <v>13</v>
      </c>
      <c r="I177" s="159" t="s">
        <v>40</v>
      </c>
      <c r="J177" s="159"/>
      <c r="K177" s="159" t="s">
        <v>412</v>
      </c>
    </row>
    <row r="178" spans="1:11" s="20" customFormat="1" ht="33.75" x14ac:dyDescent="0.2">
      <c r="A178" s="158" t="s">
        <v>430</v>
      </c>
      <c r="B178" s="158" t="s">
        <v>413</v>
      </c>
      <c r="C178" s="158" t="s">
        <v>97</v>
      </c>
      <c r="D178" s="159" t="s">
        <v>13</v>
      </c>
      <c r="E178" s="159" t="s">
        <v>14</v>
      </c>
      <c r="F178" s="159" t="s">
        <v>13</v>
      </c>
      <c r="G178" s="159" t="s">
        <v>13</v>
      </c>
      <c r="H178" s="159" t="s">
        <v>13</v>
      </c>
      <c r="I178" s="159" t="s">
        <v>40</v>
      </c>
      <c r="J178" s="159"/>
      <c r="K178" s="159" t="s">
        <v>414</v>
      </c>
    </row>
    <row r="179" spans="1:11" s="20" customFormat="1" ht="45" x14ac:dyDescent="0.2">
      <c r="A179" s="158" t="s">
        <v>430</v>
      </c>
      <c r="B179" s="158" t="s">
        <v>415</v>
      </c>
      <c r="C179" s="158" t="s">
        <v>206</v>
      </c>
      <c r="D179" s="159" t="s">
        <v>13</v>
      </c>
      <c r="E179" s="159" t="s">
        <v>14</v>
      </c>
      <c r="F179" s="159" t="s">
        <v>13</v>
      </c>
      <c r="G179" s="159" t="s">
        <v>13</v>
      </c>
      <c r="H179" s="159" t="s">
        <v>14</v>
      </c>
      <c r="I179" s="159" t="s">
        <v>40</v>
      </c>
      <c r="J179" s="159"/>
      <c r="K179" s="159" t="s">
        <v>416</v>
      </c>
    </row>
    <row r="180" spans="1:11" s="20" customFormat="1" ht="36.6" customHeight="1" x14ac:dyDescent="0.2">
      <c r="A180" s="158" t="s">
        <v>430</v>
      </c>
      <c r="B180" s="158" t="s">
        <v>417</v>
      </c>
      <c r="C180" s="158" t="s">
        <v>418</v>
      </c>
      <c r="D180" s="159" t="s">
        <v>13</v>
      </c>
      <c r="E180" s="159" t="s">
        <v>14</v>
      </c>
      <c r="F180" s="159" t="s">
        <v>13</v>
      </c>
      <c r="G180" s="159" t="s">
        <v>13</v>
      </c>
      <c r="H180" s="159" t="s">
        <v>13</v>
      </c>
      <c r="I180" s="159" t="s">
        <v>40</v>
      </c>
      <c r="J180" s="159"/>
      <c r="K180" s="159" t="s">
        <v>419</v>
      </c>
    </row>
    <row r="181" spans="1:11" s="20" customFormat="1" ht="27.6" customHeight="1" x14ac:dyDescent="0.2">
      <c r="A181" s="158" t="s">
        <v>430</v>
      </c>
      <c r="B181" s="158" t="s">
        <v>420</v>
      </c>
      <c r="C181" s="158" t="s">
        <v>206</v>
      </c>
      <c r="D181" s="159" t="s">
        <v>13</v>
      </c>
      <c r="E181" s="159" t="s">
        <v>14</v>
      </c>
      <c r="F181" s="159" t="s">
        <v>13</v>
      </c>
      <c r="G181" s="159" t="s">
        <v>13</v>
      </c>
      <c r="H181" s="159" t="s">
        <v>13</v>
      </c>
      <c r="I181" s="159" t="s">
        <v>40</v>
      </c>
      <c r="J181" s="159"/>
      <c r="K181" s="159" t="s">
        <v>421</v>
      </c>
    </row>
    <row r="182" spans="1:11" s="20" customFormat="1" ht="18.600000000000001" customHeight="1" x14ac:dyDescent="0.2">
      <c r="A182" s="158" t="s">
        <v>430</v>
      </c>
      <c r="B182" s="158" t="s">
        <v>422</v>
      </c>
      <c r="C182" s="158" t="s">
        <v>105</v>
      </c>
      <c r="D182" s="159" t="s">
        <v>253</v>
      </c>
      <c r="E182" s="159" t="s">
        <v>14</v>
      </c>
      <c r="F182" s="159" t="s">
        <v>253</v>
      </c>
      <c r="G182" s="159" t="s">
        <v>253</v>
      </c>
      <c r="H182" s="159" t="s">
        <v>14</v>
      </c>
      <c r="I182" s="159" t="s">
        <v>15</v>
      </c>
      <c r="J182" s="159"/>
      <c r="K182" s="159"/>
    </row>
    <row r="183" spans="1:11" s="20" customFormat="1" x14ac:dyDescent="0.2">
      <c r="A183" s="158" t="s">
        <v>430</v>
      </c>
      <c r="B183" s="158" t="s">
        <v>423</v>
      </c>
      <c r="C183" s="158" t="s">
        <v>97</v>
      </c>
      <c r="D183" s="159" t="s">
        <v>14</v>
      </c>
      <c r="E183" s="159" t="s">
        <v>14</v>
      </c>
      <c r="F183" s="159"/>
      <c r="G183" s="159"/>
      <c r="H183" s="159"/>
      <c r="I183" s="159"/>
      <c r="J183" s="159"/>
      <c r="K183" s="159"/>
    </row>
    <row r="184" spans="1:11" s="20" customFormat="1" ht="33.75" x14ac:dyDescent="0.2">
      <c r="A184" s="158" t="s">
        <v>430</v>
      </c>
      <c r="B184" s="158" t="s">
        <v>424</v>
      </c>
      <c r="C184" s="158" t="s">
        <v>97</v>
      </c>
      <c r="D184" s="159" t="s">
        <v>14</v>
      </c>
      <c r="E184" s="159" t="s">
        <v>14</v>
      </c>
      <c r="F184" s="159" t="s">
        <v>14</v>
      </c>
      <c r="G184" s="159" t="s">
        <v>13</v>
      </c>
      <c r="H184" s="159" t="s">
        <v>14</v>
      </c>
      <c r="I184" s="159" t="s">
        <v>425</v>
      </c>
      <c r="J184" s="159"/>
      <c r="K184" s="159" t="s">
        <v>426</v>
      </c>
    </row>
    <row r="185" spans="1:11" s="20" customFormat="1" ht="22.5" x14ac:dyDescent="0.2">
      <c r="A185" s="158" t="s">
        <v>430</v>
      </c>
      <c r="B185" s="158" t="s">
        <v>427</v>
      </c>
      <c r="C185" s="158" t="s">
        <v>97</v>
      </c>
      <c r="D185" s="159" t="s">
        <v>14</v>
      </c>
      <c r="E185" s="159" t="s">
        <v>14</v>
      </c>
      <c r="F185" s="159" t="s">
        <v>14</v>
      </c>
      <c r="G185" s="159" t="s">
        <v>253</v>
      </c>
      <c r="H185" s="159" t="s">
        <v>14</v>
      </c>
      <c r="I185" s="159" t="s">
        <v>40</v>
      </c>
      <c r="J185" s="159"/>
      <c r="K185" s="159" t="s">
        <v>428</v>
      </c>
    </row>
    <row r="186" spans="1:11" s="20" customFormat="1" x14ac:dyDescent="0.2">
      <c r="A186" s="158" t="s">
        <v>430</v>
      </c>
      <c r="B186" s="158" t="s">
        <v>429</v>
      </c>
      <c r="C186" s="158" t="s">
        <v>97</v>
      </c>
      <c r="D186" s="159" t="s">
        <v>13</v>
      </c>
      <c r="E186" s="159" t="s">
        <v>14</v>
      </c>
      <c r="F186" s="159" t="s">
        <v>13</v>
      </c>
      <c r="G186" s="159" t="s">
        <v>13</v>
      </c>
      <c r="H186" s="159" t="s">
        <v>13</v>
      </c>
      <c r="I186" s="159" t="s">
        <v>40</v>
      </c>
      <c r="J186" s="159"/>
      <c r="K186" s="159"/>
    </row>
    <row r="187" spans="1:11" s="20" customFormat="1" ht="78.75" x14ac:dyDescent="0.2">
      <c r="A187" s="158" t="s">
        <v>668</v>
      </c>
      <c r="B187" s="158" t="s">
        <v>665</v>
      </c>
      <c r="C187" s="158" t="s">
        <v>466</v>
      </c>
      <c r="D187" s="159" t="s">
        <v>13</v>
      </c>
      <c r="E187" s="159" t="s">
        <v>14</v>
      </c>
      <c r="F187" s="159" t="s">
        <v>14</v>
      </c>
      <c r="G187" s="159" t="s">
        <v>14</v>
      </c>
      <c r="H187" s="159" t="s">
        <v>13</v>
      </c>
      <c r="I187" s="159" t="s">
        <v>15</v>
      </c>
      <c r="J187" s="159" t="s">
        <v>666</v>
      </c>
      <c r="K187" s="159" t="s">
        <v>759</v>
      </c>
    </row>
    <row r="188" spans="1:11" s="20" customFormat="1" x14ac:dyDescent="0.2">
      <c r="A188" s="158" t="s">
        <v>442</v>
      </c>
      <c r="B188" s="158" t="s">
        <v>433</v>
      </c>
      <c r="C188" s="158" t="s">
        <v>12</v>
      </c>
      <c r="D188" s="159"/>
      <c r="E188" s="159" t="s">
        <v>14</v>
      </c>
      <c r="F188" s="159" t="s">
        <v>14</v>
      </c>
      <c r="G188" s="159" t="s">
        <v>14</v>
      </c>
      <c r="H188" s="159" t="s">
        <v>14</v>
      </c>
      <c r="I188" s="159" t="s">
        <v>403</v>
      </c>
      <c r="J188" s="159"/>
      <c r="K188" s="159"/>
    </row>
    <row r="189" spans="1:11" s="20" customFormat="1" x14ac:dyDescent="0.2">
      <c r="A189" s="158" t="s">
        <v>442</v>
      </c>
      <c r="B189" s="158" t="s">
        <v>434</v>
      </c>
      <c r="C189" s="158" t="s">
        <v>187</v>
      </c>
      <c r="D189" s="159"/>
      <c r="E189" s="159" t="s">
        <v>14</v>
      </c>
      <c r="F189" s="159" t="s">
        <v>14</v>
      </c>
      <c r="G189" s="159" t="s">
        <v>14</v>
      </c>
      <c r="H189" s="159" t="s">
        <v>14</v>
      </c>
      <c r="I189" s="159" t="s">
        <v>40</v>
      </c>
      <c r="J189" s="159"/>
      <c r="K189" s="159"/>
    </row>
    <row r="190" spans="1:11" s="20" customFormat="1" x14ac:dyDescent="0.2">
      <c r="A190" s="158" t="s">
        <v>442</v>
      </c>
      <c r="B190" s="158" t="s">
        <v>435</v>
      </c>
      <c r="C190" s="158" t="s">
        <v>176</v>
      </c>
      <c r="D190" s="159"/>
      <c r="E190" s="159" t="s">
        <v>14</v>
      </c>
      <c r="F190" s="159" t="s">
        <v>14</v>
      </c>
      <c r="G190" s="159" t="s">
        <v>14</v>
      </c>
      <c r="H190" s="159" t="s">
        <v>14</v>
      </c>
      <c r="I190" s="159" t="s">
        <v>403</v>
      </c>
      <c r="J190" s="159"/>
      <c r="K190" s="159"/>
    </row>
    <row r="191" spans="1:11" s="20" customFormat="1" x14ac:dyDescent="0.2">
      <c r="A191" s="158" t="s">
        <v>442</v>
      </c>
      <c r="B191" s="158" t="s">
        <v>436</v>
      </c>
      <c r="C191" s="158" t="s">
        <v>121</v>
      </c>
      <c r="D191" s="159"/>
      <c r="E191" s="159" t="s">
        <v>14</v>
      </c>
      <c r="F191" s="159" t="s">
        <v>14</v>
      </c>
      <c r="G191" s="159" t="s">
        <v>14</v>
      </c>
      <c r="H191" s="159" t="s">
        <v>14</v>
      </c>
      <c r="I191" s="159" t="s">
        <v>403</v>
      </c>
      <c r="J191" s="159"/>
      <c r="K191" s="159"/>
    </row>
    <row r="192" spans="1:11" s="20" customFormat="1" x14ac:dyDescent="0.2">
      <c r="A192" s="158" t="s">
        <v>442</v>
      </c>
      <c r="B192" s="158" t="s">
        <v>437</v>
      </c>
      <c r="C192" s="158" t="s">
        <v>129</v>
      </c>
      <c r="D192" s="159"/>
      <c r="E192" s="159" t="s">
        <v>14</v>
      </c>
      <c r="F192" s="159" t="s">
        <v>14</v>
      </c>
      <c r="G192" s="159" t="s">
        <v>14</v>
      </c>
      <c r="H192" s="159" t="s">
        <v>14</v>
      </c>
      <c r="I192" s="159" t="s">
        <v>403</v>
      </c>
      <c r="J192" s="159"/>
      <c r="K192" s="159"/>
    </row>
    <row r="193" spans="1:11" s="20" customFormat="1" ht="128.44999999999999" customHeight="1" x14ac:dyDescent="0.2">
      <c r="A193" s="158" t="s">
        <v>442</v>
      </c>
      <c r="B193" s="158" t="s">
        <v>438</v>
      </c>
      <c r="C193" s="158" t="s">
        <v>187</v>
      </c>
      <c r="D193" s="159"/>
      <c r="E193" s="159" t="s">
        <v>14</v>
      </c>
      <c r="F193" s="159" t="s">
        <v>14</v>
      </c>
      <c r="G193" s="159" t="s">
        <v>14</v>
      </c>
      <c r="H193" s="159" t="s">
        <v>14</v>
      </c>
      <c r="I193" s="159" t="s">
        <v>256</v>
      </c>
      <c r="J193" s="159"/>
      <c r="K193" s="159"/>
    </row>
    <row r="194" spans="1:11" s="20" customFormat="1" ht="46.15" customHeight="1" x14ac:dyDescent="0.2">
      <c r="A194" s="158" t="s">
        <v>442</v>
      </c>
      <c r="B194" s="158" t="s">
        <v>439</v>
      </c>
      <c r="C194" s="158" t="s">
        <v>121</v>
      </c>
      <c r="D194" s="159"/>
      <c r="E194" s="159" t="s">
        <v>14</v>
      </c>
      <c r="F194" s="159" t="s">
        <v>14</v>
      </c>
      <c r="G194" s="159" t="s">
        <v>14</v>
      </c>
      <c r="H194" s="159" t="s">
        <v>14</v>
      </c>
      <c r="I194" s="159" t="s">
        <v>256</v>
      </c>
      <c r="J194" s="159"/>
      <c r="K194" s="159"/>
    </row>
    <row r="195" spans="1:11" s="20" customFormat="1" ht="69" customHeight="1" x14ac:dyDescent="0.2">
      <c r="A195" s="158" t="s">
        <v>442</v>
      </c>
      <c r="B195" s="158" t="s">
        <v>440</v>
      </c>
      <c r="C195" s="158" t="s">
        <v>105</v>
      </c>
      <c r="D195" s="159"/>
      <c r="E195" s="159" t="s">
        <v>14</v>
      </c>
      <c r="F195" s="159" t="s">
        <v>14</v>
      </c>
      <c r="G195" s="159" t="s">
        <v>14</v>
      </c>
      <c r="H195" s="159" t="s">
        <v>14</v>
      </c>
      <c r="I195" s="159" t="s">
        <v>256</v>
      </c>
      <c r="J195" s="159"/>
      <c r="K195" s="159"/>
    </row>
    <row r="196" spans="1:11" s="20" customFormat="1" ht="89.45" customHeight="1" x14ac:dyDescent="0.2">
      <c r="A196" s="158" t="s">
        <v>442</v>
      </c>
      <c r="B196" s="158" t="s">
        <v>441</v>
      </c>
      <c r="C196" s="158" t="s">
        <v>418</v>
      </c>
      <c r="D196" s="159"/>
      <c r="E196" s="159" t="s">
        <v>14</v>
      </c>
      <c r="F196" s="159" t="s">
        <v>14</v>
      </c>
      <c r="G196" s="159" t="s">
        <v>14</v>
      </c>
      <c r="H196" s="159" t="s">
        <v>14</v>
      </c>
      <c r="I196" s="159" t="s">
        <v>256</v>
      </c>
      <c r="J196" s="159"/>
      <c r="K196" s="159"/>
    </row>
    <row r="197" spans="1:11" s="20" customFormat="1" ht="33.75" x14ac:dyDescent="0.2">
      <c r="A197" s="158" t="s">
        <v>442</v>
      </c>
      <c r="B197" s="158" t="s">
        <v>653</v>
      </c>
      <c r="C197" s="158" t="s">
        <v>269</v>
      </c>
      <c r="D197" s="159"/>
      <c r="E197" s="159" t="s">
        <v>14</v>
      </c>
      <c r="F197" s="159" t="s">
        <v>14</v>
      </c>
      <c r="G197" s="159" t="s">
        <v>14</v>
      </c>
      <c r="H197" s="159" t="s">
        <v>14</v>
      </c>
      <c r="I197" s="159" t="s">
        <v>256</v>
      </c>
      <c r="J197" s="159"/>
      <c r="K197" s="159"/>
    </row>
    <row r="198" spans="1:11" s="20" customFormat="1" ht="146.25" x14ac:dyDescent="0.2">
      <c r="A198" s="158" t="s">
        <v>447</v>
      </c>
      <c r="B198" s="158" t="s">
        <v>444</v>
      </c>
      <c r="C198" s="158" t="s">
        <v>12</v>
      </c>
      <c r="D198" s="159" t="s">
        <v>14</v>
      </c>
      <c r="E198" s="159" t="s">
        <v>14</v>
      </c>
      <c r="F198" s="159" t="s">
        <v>14</v>
      </c>
      <c r="G198" s="159" t="s">
        <v>14</v>
      </c>
      <c r="H198" s="159" t="s">
        <v>13</v>
      </c>
      <c r="I198" s="159" t="s">
        <v>40</v>
      </c>
      <c r="J198" s="159" t="s">
        <v>445</v>
      </c>
      <c r="K198" s="159" t="s">
        <v>446</v>
      </c>
    </row>
    <row r="199" spans="1:11" s="20" customFormat="1" ht="56.25" x14ac:dyDescent="0.2">
      <c r="A199" s="158" t="s">
        <v>448</v>
      </c>
      <c r="B199" s="158" t="s">
        <v>449</v>
      </c>
      <c r="C199" s="158" t="s">
        <v>12</v>
      </c>
      <c r="D199" s="159" t="s">
        <v>14</v>
      </c>
      <c r="E199" s="159" t="s">
        <v>13</v>
      </c>
      <c r="F199" s="159" t="s">
        <v>14</v>
      </c>
      <c r="G199" s="159" t="s">
        <v>13</v>
      </c>
      <c r="H199" s="159" t="s">
        <v>14</v>
      </c>
      <c r="I199" s="159" t="s">
        <v>15</v>
      </c>
      <c r="J199" s="159" t="s">
        <v>450</v>
      </c>
      <c r="K199" s="159" t="s">
        <v>451</v>
      </c>
    </row>
    <row r="200" spans="1:11" s="20" customFormat="1" ht="24.6" customHeight="1" x14ac:dyDescent="0.2">
      <c r="A200" s="158" t="s">
        <v>448</v>
      </c>
      <c r="B200" s="158" t="s">
        <v>452</v>
      </c>
      <c r="C200" s="158" t="s">
        <v>328</v>
      </c>
      <c r="D200" s="159" t="s">
        <v>13</v>
      </c>
      <c r="E200" s="159" t="s">
        <v>14</v>
      </c>
      <c r="F200" s="159" t="s">
        <v>14</v>
      </c>
      <c r="G200" s="159" t="s">
        <v>13</v>
      </c>
      <c r="H200" s="159" t="s">
        <v>14</v>
      </c>
      <c r="I200" s="159" t="s">
        <v>15</v>
      </c>
      <c r="J200" s="159" t="s">
        <v>453</v>
      </c>
      <c r="K200" s="159" t="s">
        <v>454</v>
      </c>
    </row>
    <row r="201" spans="1:11" s="20" customFormat="1" ht="18" customHeight="1" x14ac:dyDescent="0.2">
      <c r="A201" s="158" t="s">
        <v>448</v>
      </c>
      <c r="B201" s="158" t="s">
        <v>455</v>
      </c>
      <c r="C201" s="158" t="s">
        <v>328</v>
      </c>
      <c r="D201" s="159" t="s">
        <v>13</v>
      </c>
      <c r="E201" s="159" t="s">
        <v>14</v>
      </c>
      <c r="F201" s="159" t="s">
        <v>14</v>
      </c>
      <c r="G201" s="159" t="s">
        <v>13</v>
      </c>
      <c r="H201" s="159" t="s">
        <v>14</v>
      </c>
      <c r="I201" s="159" t="s">
        <v>15</v>
      </c>
      <c r="J201" s="159" t="s">
        <v>456</v>
      </c>
      <c r="K201" s="159" t="s">
        <v>457</v>
      </c>
    </row>
    <row r="202" spans="1:11" s="20" customFormat="1" ht="79.150000000000006" customHeight="1" x14ac:dyDescent="0.2">
      <c r="A202" s="158" t="s">
        <v>448</v>
      </c>
      <c r="B202" s="158" t="s">
        <v>458</v>
      </c>
      <c r="C202" s="158" t="s">
        <v>212</v>
      </c>
      <c r="D202" s="159" t="s">
        <v>13</v>
      </c>
      <c r="E202" s="159" t="s">
        <v>14</v>
      </c>
      <c r="F202" s="159" t="s">
        <v>14</v>
      </c>
      <c r="G202" s="159" t="s">
        <v>13</v>
      </c>
      <c r="H202" s="159" t="s">
        <v>14</v>
      </c>
      <c r="I202" s="159" t="s">
        <v>15</v>
      </c>
      <c r="J202" s="159" t="s">
        <v>459</v>
      </c>
      <c r="K202" s="159" t="s">
        <v>460</v>
      </c>
    </row>
    <row r="203" spans="1:11" s="20" customFormat="1" ht="46.9" customHeight="1" x14ac:dyDescent="0.2">
      <c r="A203" s="158" t="s">
        <v>448</v>
      </c>
      <c r="B203" s="158" t="s">
        <v>461</v>
      </c>
      <c r="C203" s="158" t="s">
        <v>72</v>
      </c>
      <c r="D203" s="159" t="s">
        <v>13</v>
      </c>
      <c r="E203" s="159" t="s">
        <v>14</v>
      </c>
      <c r="F203" s="159" t="s">
        <v>14</v>
      </c>
      <c r="G203" s="159" t="s">
        <v>13</v>
      </c>
      <c r="H203" s="159" t="s">
        <v>14</v>
      </c>
      <c r="I203" s="159" t="s">
        <v>15</v>
      </c>
      <c r="J203" s="159" t="s">
        <v>462</v>
      </c>
      <c r="K203" s="159" t="s">
        <v>463</v>
      </c>
    </row>
    <row r="204" spans="1:11" s="20" customFormat="1" ht="40.15" customHeight="1" x14ac:dyDescent="0.2">
      <c r="A204" s="158" t="s">
        <v>464</v>
      </c>
      <c r="B204" s="158" t="s">
        <v>465</v>
      </c>
      <c r="C204" s="158" t="s">
        <v>466</v>
      </c>
      <c r="D204" s="159" t="s">
        <v>14</v>
      </c>
      <c r="E204" s="159" t="s">
        <v>13</v>
      </c>
      <c r="F204" s="159" t="s">
        <v>14</v>
      </c>
      <c r="G204" s="159" t="s">
        <v>14</v>
      </c>
      <c r="H204" s="159" t="s">
        <v>14</v>
      </c>
      <c r="I204" s="159" t="s">
        <v>15</v>
      </c>
      <c r="J204" s="159" t="s">
        <v>467</v>
      </c>
      <c r="K204" s="159" t="s">
        <v>468</v>
      </c>
    </row>
    <row r="205" spans="1:11" s="20" customFormat="1" ht="22.5" x14ac:dyDescent="0.2">
      <c r="A205" s="158" t="s">
        <v>469</v>
      </c>
      <c r="B205" s="158" t="s">
        <v>470</v>
      </c>
      <c r="C205" s="158" t="s">
        <v>75</v>
      </c>
      <c r="D205" s="159" t="s">
        <v>13</v>
      </c>
      <c r="E205" s="159" t="s">
        <v>13</v>
      </c>
      <c r="F205" s="159" t="s">
        <v>14</v>
      </c>
      <c r="G205" s="159" t="s">
        <v>14</v>
      </c>
      <c r="H205" s="159" t="s">
        <v>14</v>
      </c>
      <c r="I205" s="159" t="s">
        <v>15</v>
      </c>
      <c r="J205" s="159" t="s">
        <v>471</v>
      </c>
      <c r="K205" s="159" t="s">
        <v>472</v>
      </c>
    </row>
    <row r="206" spans="1:11" s="20" customFormat="1" ht="37.15" customHeight="1" x14ac:dyDescent="0.2">
      <c r="A206" s="158" t="s">
        <v>469</v>
      </c>
      <c r="B206" s="158" t="s">
        <v>473</v>
      </c>
      <c r="C206" s="158" t="s">
        <v>60</v>
      </c>
      <c r="D206" s="159" t="s">
        <v>13</v>
      </c>
      <c r="E206" s="159" t="s">
        <v>14</v>
      </c>
      <c r="F206" s="159" t="s">
        <v>14</v>
      </c>
      <c r="G206" s="159" t="s">
        <v>13</v>
      </c>
      <c r="H206" s="159" t="s">
        <v>14</v>
      </c>
      <c r="I206" s="159" t="s">
        <v>15</v>
      </c>
      <c r="J206" s="159" t="s">
        <v>474</v>
      </c>
      <c r="K206" s="159" t="s">
        <v>475</v>
      </c>
    </row>
    <row r="207" spans="1:11" s="20" customFormat="1" ht="78.75" x14ac:dyDescent="0.2">
      <c r="A207" s="158" t="s">
        <v>469</v>
      </c>
      <c r="B207" s="158" t="s">
        <v>476</v>
      </c>
      <c r="C207" s="158" t="s">
        <v>60</v>
      </c>
      <c r="D207" s="159" t="s">
        <v>14</v>
      </c>
      <c r="E207" s="159" t="s">
        <v>14</v>
      </c>
      <c r="F207" s="159" t="s">
        <v>14</v>
      </c>
      <c r="G207" s="159" t="s">
        <v>14</v>
      </c>
      <c r="H207" s="159" t="s">
        <v>14</v>
      </c>
      <c r="I207" s="159" t="s">
        <v>15</v>
      </c>
      <c r="J207" s="159" t="s">
        <v>477</v>
      </c>
      <c r="K207" s="159" t="s">
        <v>478</v>
      </c>
    </row>
    <row r="208" spans="1:11" s="20" customFormat="1" ht="45" x14ac:dyDescent="0.2">
      <c r="A208" s="158" t="s">
        <v>469</v>
      </c>
      <c r="B208" s="158" t="s">
        <v>479</v>
      </c>
      <c r="C208" s="158" t="s">
        <v>60</v>
      </c>
      <c r="D208" s="159" t="s">
        <v>13</v>
      </c>
      <c r="E208" s="159" t="s">
        <v>14</v>
      </c>
      <c r="F208" s="159" t="s">
        <v>14</v>
      </c>
      <c r="G208" s="159" t="s">
        <v>14</v>
      </c>
      <c r="H208" s="159" t="s">
        <v>14</v>
      </c>
      <c r="I208" s="159" t="s">
        <v>15</v>
      </c>
      <c r="J208" s="159" t="s">
        <v>480</v>
      </c>
      <c r="K208" s="159" t="s">
        <v>481</v>
      </c>
    </row>
    <row r="209" spans="1:11" s="20" customFormat="1" ht="33.75" x14ac:dyDescent="0.2">
      <c r="A209" s="158" t="s">
        <v>469</v>
      </c>
      <c r="B209" s="158" t="s">
        <v>482</v>
      </c>
      <c r="C209" s="158" t="s">
        <v>60</v>
      </c>
      <c r="D209" s="159" t="s">
        <v>13</v>
      </c>
      <c r="E209" s="159" t="s">
        <v>14</v>
      </c>
      <c r="F209" s="159" t="s">
        <v>14</v>
      </c>
      <c r="G209" s="159" t="s">
        <v>13</v>
      </c>
      <c r="H209" s="159" t="s">
        <v>14</v>
      </c>
      <c r="I209" s="159" t="s">
        <v>15</v>
      </c>
      <c r="J209" s="159" t="s">
        <v>483</v>
      </c>
      <c r="K209" s="159" t="s">
        <v>484</v>
      </c>
    </row>
    <row r="210" spans="1:11" s="20" customFormat="1" ht="22.5" x14ac:dyDescent="0.2">
      <c r="A210" s="158" t="s">
        <v>469</v>
      </c>
      <c r="B210" s="158" t="s">
        <v>485</v>
      </c>
      <c r="C210" s="158" t="s">
        <v>60</v>
      </c>
      <c r="D210" s="159" t="s">
        <v>13</v>
      </c>
      <c r="E210" s="159" t="s">
        <v>14</v>
      </c>
      <c r="F210" s="159" t="s">
        <v>14</v>
      </c>
      <c r="G210" s="159" t="s">
        <v>13</v>
      </c>
      <c r="H210" s="159" t="s">
        <v>14</v>
      </c>
      <c r="I210" s="159" t="s">
        <v>15</v>
      </c>
      <c r="J210" s="159" t="s">
        <v>486</v>
      </c>
      <c r="K210" s="159" t="s">
        <v>487</v>
      </c>
    </row>
    <row r="211" spans="1:11" s="20" customFormat="1" ht="33.75" x14ac:dyDescent="0.2">
      <c r="A211" s="158" t="s">
        <v>469</v>
      </c>
      <c r="B211" s="158" t="s">
        <v>488</v>
      </c>
      <c r="C211" s="158" t="s">
        <v>60</v>
      </c>
      <c r="D211" s="159" t="s">
        <v>13</v>
      </c>
      <c r="E211" s="159" t="s">
        <v>14</v>
      </c>
      <c r="F211" s="159" t="s">
        <v>14</v>
      </c>
      <c r="G211" s="159" t="s">
        <v>13</v>
      </c>
      <c r="H211" s="159" t="s">
        <v>14</v>
      </c>
      <c r="I211" s="159" t="s">
        <v>15</v>
      </c>
      <c r="J211" s="159" t="s">
        <v>483</v>
      </c>
      <c r="K211" s="159" t="s">
        <v>489</v>
      </c>
    </row>
    <row r="212" spans="1:11" s="20" customFormat="1" ht="27.6" customHeight="1" x14ac:dyDescent="0.2">
      <c r="A212" s="158" t="s">
        <v>469</v>
      </c>
      <c r="B212" s="158" t="s">
        <v>490</v>
      </c>
      <c r="C212" s="158" t="s">
        <v>60</v>
      </c>
      <c r="D212" s="159" t="s">
        <v>13</v>
      </c>
      <c r="E212" s="159" t="s">
        <v>14</v>
      </c>
      <c r="F212" s="159" t="s">
        <v>14</v>
      </c>
      <c r="G212" s="159" t="s">
        <v>13</v>
      </c>
      <c r="H212" s="159" t="s">
        <v>14</v>
      </c>
      <c r="I212" s="159" t="s">
        <v>15</v>
      </c>
      <c r="J212" s="159" t="s">
        <v>486</v>
      </c>
      <c r="K212" s="159" t="s">
        <v>489</v>
      </c>
    </row>
    <row r="213" spans="1:11" s="20" customFormat="1" ht="45" x14ac:dyDescent="0.2">
      <c r="A213" s="158" t="s">
        <v>469</v>
      </c>
      <c r="B213" s="158" t="s">
        <v>492</v>
      </c>
      <c r="C213" s="158" t="s">
        <v>372</v>
      </c>
      <c r="D213" s="159" t="s">
        <v>13</v>
      </c>
      <c r="E213" s="159" t="s">
        <v>14</v>
      </c>
      <c r="F213" s="159" t="s">
        <v>14</v>
      </c>
      <c r="G213" s="159" t="s">
        <v>14</v>
      </c>
      <c r="H213" s="159" t="s">
        <v>14</v>
      </c>
      <c r="I213" s="159" t="s">
        <v>15</v>
      </c>
      <c r="J213" s="159" t="s">
        <v>493</v>
      </c>
      <c r="K213" s="159" t="s">
        <v>494</v>
      </c>
    </row>
    <row r="214" spans="1:11" s="20" customFormat="1" ht="33.75" x14ac:dyDescent="0.2">
      <c r="A214" s="158" t="s">
        <v>495</v>
      </c>
      <c r="B214" s="158" t="s">
        <v>496</v>
      </c>
      <c r="C214" s="158" t="s">
        <v>60</v>
      </c>
      <c r="D214" s="159" t="s">
        <v>13</v>
      </c>
      <c r="E214" s="159" t="s">
        <v>497</v>
      </c>
      <c r="F214" s="159" t="s">
        <v>497</v>
      </c>
      <c r="G214" s="159" t="s">
        <v>14</v>
      </c>
      <c r="H214" s="159" t="s">
        <v>14</v>
      </c>
      <c r="I214" s="159" t="s">
        <v>15</v>
      </c>
      <c r="J214" s="159"/>
      <c r="K214" s="159"/>
    </row>
    <row r="215" spans="1:11" s="20" customFormat="1" x14ac:dyDescent="0.2">
      <c r="A215" s="158" t="s">
        <v>512</v>
      </c>
      <c r="B215" s="158" t="s">
        <v>498</v>
      </c>
      <c r="C215" s="158" t="s">
        <v>206</v>
      </c>
      <c r="D215" s="159" t="s">
        <v>13</v>
      </c>
      <c r="E215" s="159" t="s">
        <v>14</v>
      </c>
      <c r="F215" s="159" t="s">
        <v>14</v>
      </c>
      <c r="G215" s="159" t="s">
        <v>14</v>
      </c>
      <c r="H215" s="159" t="s">
        <v>14</v>
      </c>
      <c r="I215" s="159" t="s">
        <v>40</v>
      </c>
      <c r="J215" s="159"/>
      <c r="K215" s="159"/>
    </row>
    <row r="216" spans="1:11" s="20" customFormat="1" ht="22.5" x14ac:dyDescent="0.2">
      <c r="A216" s="158" t="s">
        <v>512</v>
      </c>
      <c r="B216" s="158" t="s">
        <v>499</v>
      </c>
      <c r="C216" s="158" t="s">
        <v>206</v>
      </c>
      <c r="D216" s="159" t="s">
        <v>13</v>
      </c>
      <c r="E216" s="159" t="s">
        <v>14</v>
      </c>
      <c r="F216" s="159" t="s">
        <v>14</v>
      </c>
      <c r="G216" s="159" t="s">
        <v>14</v>
      </c>
      <c r="H216" s="159" t="s">
        <v>14</v>
      </c>
      <c r="I216" s="159" t="s">
        <v>256</v>
      </c>
      <c r="J216" s="159"/>
      <c r="K216" s="159"/>
    </row>
    <row r="217" spans="1:11" s="20" customFormat="1" ht="22.5" x14ac:dyDescent="0.2">
      <c r="A217" s="158" t="s">
        <v>512</v>
      </c>
      <c r="B217" s="158" t="s">
        <v>500</v>
      </c>
      <c r="C217" s="158" t="s">
        <v>114</v>
      </c>
      <c r="D217" s="159" t="s">
        <v>253</v>
      </c>
      <c r="E217" s="159" t="s">
        <v>14</v>
      </c>
      <c r="F217" s="159" t="s">
        <v>13</v>
      </c>
      <c r="G217" s="159" t="s">
        <v>13</v>
      </c>
      <c r="H217" s="159" t="s">
        <v>13</v>
      </c>
      <c r="I217" s="159" t="s">
        <v>256</v>
      </c>
      <c r="J217" s="159"/>
      <c r="K217" s="159" t="s">
        <v>501</v>
      </c>
    </row>
    <row r="218" spans="1:11" s="20" customFormat="1" x14ac:dyDescent="0.2">
      <c r="A218" s="158" t="s">
        <v>512</v>
      </c>
      <c r="B218" s="158" t="s">
        <v>502</v>
      </c>
      <c r="C218" s="158" t="s">
        <v>176</v>
      </c>
      <c r="D218" s="159" t="s">
        <v>253</v>
      </c>
      <c r="E218" s="159" t="s">
        <v>14</v>
      </c>
      <c r="F218" s="159" t="s">
        <v>13</v>
      </c>
      <c r="G218" s="159" t="s">
        <v>13</v>
      </c>
      <c r="H218" s="159" t="s">
        <v>13</v>
      </c>
      <c r="I218" s="159" t="s">
        <v>256</v>
      </c>
      <c r="J218" s="159"/>
      <c r="K218" s="159"/>
    </row>
    <row r="219" spans="1:11" s="20" customFormat="1" ht="33.75" x14ac:dyDescent="0.2">
      <c r="A219" s="158" t="s">
        <v>512</v>
      </c>
      <c r="B219" s="158" t="s">
        <v>503</v>
      </c>
      <c r="C219" s="158" t="s">
        <v>243</v>
      </c>
      <c r="D219" s="159" t="s">
        <v>253</v>
      </c>
      <c r="E219" s="159" t="s">
        <v>13</v>
      </c>
      <c r="F219" s="159" t="s">
        <v>13</v>
      </c>
      <c r="G219" s="159" t="s">
        <v>14</v>
      </c>
      <c r="H219" s="159" t="s">
        <v>14</v>
      </c>
      <c r="I219" s="159" t="s">
        <v>256</v>
      </c>
      <c r="J219" s="159"/>
      <c r="K219" s="159"/>
    </row>
    <row r="220" spans="1:11" s="20" customFormat="1" ht="22.5" x14ac:dyDescent="0.2">
      <c r="A220" s="158" t="s">
        <v>512</v>
      </c>
      <c r="B220" s="158" t="s">
        <v>504</v>
      </c>
      <c r="C220" s="158" t="s">
        <v>466</v>
      </c>
      <c r="D220" s="159" t="s">
        <v>253</v>
      </c>
      <c r="E220" s="159" t="s">
        <v>14</v>
      </c>
      <c r="F220" s="159" t="s">
        <v>14</v>
      </c>
      <c r="G220" s="159" t="s">
        <v>13</v>
      </c>
      <c r="H220" s="159" t="s">
        <v>14</v>
      </c>
      <c r="I220" s="159" t="s">
        <v>256</v>
      </c>
      <c r="J220" s="159"/>
      <c r="K220" s="159" t="s">
        <v>505</v>
      </c>
    </row>
    <row r="221" spans="1:11" s="20" customFormat="1" ht="67.150000000000006" customHeight="1" x14ac:dyDescent="0.2">
      <c r="A221" s="158" t="s">
        <v>512</v>
      </c>
      <c r="B221" s="158" t="s">
        <v>506</v>
      </c>
      <c r="C221" s="158" t="s">
        <v>491</v>
      </c>
      <c r="D221" s="159" t="s">
        <v>253</v>
      </c>
      <c r="E221" s="159" t="s">
        <v>14</v>
      </c>
      <c r="F221" s="159" t="s">
        <v>14</v>
      </c>
      <c r="G221" s="159" t="s">
        <v>14</v>
      </c>
      <c r="H221" s="159" t="s">
        <v>13</v>
      </c>
      <c r="I221" s="159" t="s">
        <v>256</v>
      </c>
      <c r="J221" s="159"/>
      <c r="K221" s="159" t="s">
        <v>507</v>
      </c>
    </row>
    <row r="222" spans="1:11" s="20" customFormat="1" ht="28.15" customHeight="1" x14ac:dyDescent="0.2">
      <c r="A222" s="158" t="s">
        <v>512</v>
      </c>
      <c r="B222" s="158" t="s">
        <v>508</v>
      </c>
      <c r="C222" s="158" t="s">
        <v>150</v>
      </c>
      <c r="D222" s="159" t="s">
        <v>253</v>
      </c>
      <c r="E222" s="159" t="s">
        <v>14</v>
      </c>
      <c r="F222" s="159" t="s">
        <v>14</v>
      </c>
      <c r="G222" s="159" t="s">
        <v>14</v>
      </c>
      <c r="H222" s="159" t="s">
        <v>14</v>
      </c>
      <c r="I222" s="159" t="s">
        <v>256</v>
      </c>
      <c r="J222" s="159"/>
      <c r="K222" s="159"/>
    </row>
    <row r="223" spans="1:11" s="20" customFormat="1" ht="22.5" x14ac:dyDescent="0.2">
      <c r="A223" s="158" t="s">
        <v>512</v>
      </c>
      <c r="B223" s="158" t="s">
        <v>509</v>
      </c>
      <c r="C223" s="158" t="s">
        <v>150</v>
      </c>
      <c r="D223" s="159" t="s">
        <v>253</v>
      </c>
      <c r="E223" s="159" t="s">
        <v>14</v>
      </c>
      <c r="F223" s="159" t="s">
        <v>14</v>
      </c>
      <c r="G223" s="159" t="s">
        <v>14</v>
      </c>
      <c r="H223" s="159" t="s">
        <v>14</v>
      </c>
      <c r="I223" s="159" t="s">
        <v>256</v>
      </c>
      <c r="J223" s="159"/>
      <c r="K223" s="159"/>
    </row>
    <row r="224" spans="1:11" s="20" customFormat="1" ht="25.15" customHeight="1" x14ac:dyDescent="0.2">
      <c r="A224" s="158" t="s">
        <v>512</v>
      </c>
      <c r="B224" s="158" t="s">
        <v>510</v>
      </c>
      <c r="C224" s="158" t="s">
        <v>491</v>
      </c>
      <c r="D224" s="159" t="s">
        <v>253</v>
      </c>
      <c r="E224" s="159" t="s">
        <v>14</v>
      </c>
      <c r="F224" s="159" t="s">
        <v>14</v>
      </c>
      <c r="G224" s="159" t="s">
        <v>14</v>
      </c>
      <c r="H224" s="159" t="s">
        <v>14</v>
      </c>
      <c r="I224" s="159" t="s">
        <v>256</v>
      </c>
      <c r="J224" s="159"/>
      <c r="K224" s="159"/>
    </row>
    <row r="225" spans="1:11" s="20" customFormat="1" ht="25.15" customHeight="1" x14ac:dyDescent="0.2">
      <c r="A225" s="158" t="s">
        <v>512</v>
      </c>
      <c r="B225" s="158" t="s">
        <v>511</v>
      </c>
      <c r="C225" s="158" t="s">
        <v>418</v>
      </c>
      <c r="D225" s="159" t="s">
        <v>253</v>
      </c>
      <c r="E225" s="159" t="s">
        <v>14</v>
      </c>
      <c r="F225" s="159" t="s">
        <v>14</v>
      </c>
      <c r="G225" s="159" t="s">
        <v>14</v>
      </c>
      <c r="H225" s="159" t="s">
        <v>14</v>
      </c>
      <c r="I225" s="159" t="s">
        <v>256</v>
      </c>
      <c r="J225" s="159"/>
      <c r="K225" s="159"/>
    </row>
    <row r="226" spans="1:11" s="20" customFormat="1" ht="78.75" x14ac:dyDescent="0.2">
      <c r="A226" s="158" t="s">
        <v>513</v>
      </c>
      <c r="B226" s="158" t="s">
        <v>514</v>
      </c>
      <c r="C226" s="158" t="s">
        <v>121</v>
      </c>
      <c r="D226" s="159" t="s">
        <v>13</v>
      </c>
      <c r="E226" s="159" t="s">
        <v>14</v>
      </c>
      <c r="F226" s="159" t="s">
        <v>13</v>
      </c>
      <c r="G226" s="159" t="s">
        <v>14</v>
      </c>
      <c r="H226" s="159" t="s">
        <v>14</v>
      </c>
      <c r="I226" s="159" t="s">
        <v>15</v>
      </c>
      <c r="J226" s="159" t="s">
        <v>515</v>
      </c>
      <c r="K226" s="159" t="s">
        <v>516</v>
      </c>
    </row>
    <row r="227" spans="1:11" s="20" customFormat="1" ht="55.9" customHeight="1" x14ac:dyDescent="0.2">
      <c r="A227" s="158" t="s">
        <v>513</v>
      </c>
      <c r="B227" s="158" t="s">
        <v>517</v>
      </c>
      <c r="C227" s="158" t="s">
        <v>121</v>
      </c>
      <c r="D227" s="159" t="s">
        <v>253</v>
      </c>
      <c r="E227" s="159" t="s">
        <v>14</v>
      </c>
      <c r="F227" s="159" t="s">
        <v>14</v>
      </c>
      <c r="G227" s="159" t="s">
        <v>14</v>
      </c>
      <c r="H227" s="159" t="s">
        <v>14</v>
      </c>
      <c r="I227" s="159" t="s">
        <v>15</v>
      </c>
      <c r="J227" s="159" t="s">
        <v>518</v>
      </c>
      <c r="K227" s="159" t="s">
        <v>519</v>
      </c>
    </row>
    <row r="228" spans="1:11" s="20" customFormat="1" ht="45" x14ac:dyDescent="0.2">
      <c r="A228" s="158" t="s">
        <v>513</v>
      </c>
      <c r="B228" s="158" t="s">
        <v>520</v>
      </c>
      <c r="C228" s="158" t="s">
        <v>121</v>
      </c>
      <c r="D228" s="159" t="s">
        <v>13</v>
      </c>
      <c r="E228" s="159" t="s">
        <v>14</v>
      </c>
      <c r="F228" s="159" t="s">
        <v>14</v>
      </c>
      <c r="G228" s="159" t="s">
        <v>14</v>
      </c>
      <c r="H228" s="159" t="s">
        <v>14</v>
      </c>
      <c r="I228" s="159" t="s">
        <v>15</v>
      </c>
      <c r="J228" s="159" t="s">
        <v>521</v>
      </c>
      <c r="K228" s="159" t="s">
        <v>522</v>
      </c>
    </row>
    <row r="229" spans="1:11" s="20" customFormat="1" ht="47.45" customHeight="1" x14ac:dyDescent="0.2">
      <c r="A229" s="158" t="s">
        <v>513</v>
      </c>
      <c r="B229" s="158" t="s">
        <v>523</v>
      </c>
      <c r="C229" s="158" t="s">
        <v>121</v>
      </c>
      <c r="D229" s="159" t="s">
        <v>253</v>
      </c>
      <c r="E229" s="159" t="s">
        <v>14</v>
      </c>
      <c r="F229" s="159" t="s">
        <v>14</v>
      </c>
      <c r="G229" s="159" t="s">
        <v>14</v>
      </c>
      <c r="H229" s="159" t="s">
        <v>14</v>
      </c>
      <c r="I229" s="159" t="s">
        <v>15</v>
      </c>
      <c r="J229" s="159" t="s">
        <v>524</v>
      </c>
      <c r="K229" s="159" t="s">
        <v>525</v>
      </c>
    </row>
    <row r="230" spans="1:11" s="20" customFormat="1" ht="66.599999999999994" customHeight="1" x14ac:dyDescent="0.2">
      <c r="A230" s="158" t="s">
        <v>513</v>
      </c>
      <c r="B230" s="158" t="s">
        <v>526</v>
      </c>
      <c r="C230" s="158" t="s">
        <v>121</v>
      </c>
      <c r="D230" s="159" t="s">
        <v>253</v>
      </c>
      <c r="E230" s="159" t="s">
        <v>14</v>
      </c>
      <c r="F230" s="159" t="s">
        <v>14</v>
      </c>
      <c r="G230" s="159" t="s">
        <v>14</v>
      </c>
      <c r="H230" s="159" t="s">
        <v>14</v>
      </c>
      <c r="I230" s="159" t="s">
        <v>15</v>
      </c>
      <c r="J230" s="159" t="s">
        <v>527</v>
      </c>
      <c r="K230" s="159" t="s">
        <v>528</v>
      </c>
    </row>
    <row r="231" spans="1:11" s="20" customFormat="1" ht="25.9" customHeight="1" x14ac:dyDescent="0.2">
      <c r="A231" s="158" t="s">
        <v>513</v>
      </c>
      <c r="B231" s="158" t="s">
        <v>529</v>
      </c>
      <c r="C231" s="158" t="s">
        <v>269</v>
      </c>
      <c r="D231" s="159" t="s">
        <v>253</v>
      </c>
      <c r="E231" s="159" t="s">
        <v>14</v>
      </c>
      <c r="F231" s="159" t="s">
        <v>14</v>
      </c>
      <c r="G231" s="159" t="s">
        <v>14</v>
      </c>
      <c r="H231" s="159" t="s">
        <v>14</v>
      </c>
      <c r="I231" s="159" t="s">
        <v>15</v>
      </c>
      <c r="J231" s="159"/>
      <c r="K231" s="159" t="s">
        <v>530</v>
      </c>
    </row>
    <row r="232" spans="1:11" s="20" customFormat="1" ht="28.15" customHeight="1" x14ac:dyDescent="0.2">
      <c r="A232" s="158" t="s">
        <v>513</v>
      </c>
      <c r="B232" s="158" t="s">
        <v>531</v>
      </c>
      <c r="C232" s="158" t="s">
        <v>121</v>
      </c>
      <c r="D232" s="159" t="s">
        <v>253</v>
      </c>
      <c r="E232" s="159" t="s">
        <v>14</v>
      </c>
      <c r="F232" s="159" t="s">
        <v>14</v>
      </c>
      <c r="G232" s="159" t="s">
        <v>14</v>
      </c>
      <c r="H232" s="159" t="s">
        <v>14</v>
      </c>
      <c r="I232" s="159" t="s">
        <v>15</v>
      </c>
      <c r="J232" s="159" t="s">
        <v>532</v>
      </c>
      <c r="K232" s="159" t="s">
        <v>533</v>
      </c>
    </row>
    <row r="233" spans="1:11" s="20" customFormat="1" ht="27" customHeight="1" x14ac:dyDescent="0.2">
      <c r="A233" s="158" t="s">
        <v>513</v>
      </c>
      <c r="B233" s="158" t="s">
        <v>534</v>
      </c>
      <c r="C233" s="158" t="s">
        <v>121</v>
      </c>
      <c r="D233" s="159" t="s">
        <v>253</v>
      </c>
      <c r="E233" s="159" t="s">
        <v>14</v>
      </c>
      <c r="F233" s="159" t="s">
        <v>14</v>
      </c>
      <c r="G233" s="159" t="s">
        <v>14</v>
      </c>
      <c r="H233" s="159" t="s">
        <v>14</v>
      </c>
      <c r="I233" s="159" t="s">
        <v>15</v>
      </c>
      <c r="J233" s="159" t="s">
        <v>527</v>
      </c>
      <c r="K233" s="159" t="s">
        <v>535</v>
      </c>
    </row>
    <row r="234" spans="1:11" s="20" customFormat="1" ht="45" x14ac:dyDescent="0.2">
      <c r="A234" s="158" t="s">
        <v>513</v>
      </c>
      <c r="B234" s="158" t="s">
        <v>536</v>
      </c>
      <c r="C234" s="158" t="s">
        <v>121</v>
      </c>
      <c r="D234" s="159" t="s">
        <v>253</v>
      </c>
      <c r="E234" s="159" t="s">
        <v>266</v>
      </c>
      <c r="F234" s="159" t="s">
        <v>14</v>
      </c>
      <c r="G234" s="159" t="s">
        <v>14</v>
      </c>
      <c r="H234" s="159" t="s">
        <v>14</v>
      </c>
      <c r="I234" s="159" t="s">
        <v>15</v>
      </c>
      <c r="J234" s="159" t="s">
        <v>527</v>
      </c>
      <c r="K234" s="159" t="s">
        <v>537</v>
      </c>
    </row>
    <row r="235" spans="1:11" s="20" customFormat="1" ht="23.45" customHeight="1" x14ac:dyDescent="0.2">
      <c r="A235" s="158" t="s">
        <v>513</v>
      </c>
      <c r="B235" s="158" t="s">
        <v>538</v>
      </c>
      <c r="C235" s="158" t="s">
        <v>121</v>
      </c>
      <c r="D235" s="159" t="s">
        <v>253</v>
      </c>
      <c r="E235" s="159"/>
      <c r="F235" s="159" t="s">
        <v>14</v>
      </c>
      <c r="G235" s="159" t="s">
        <v>14</v>
      </c>
      <c r="H235" s="159" t="s">
        <v>14</v>
      </c>
      <c r="I235" s="159" t="s">
        <v>15</v>
      </c>
      <c r="J235" s="159" t="s">
        <v>527</v>
      </c>
      <c r="K235" s="159" t="s">
        <v>539</v>
      </c>
    </row>
    <row r="236" spans="1:11" s="20" customFormat="1" ht="36.6" customHeight="1" x14ac:dyDescent="0.2">
      <c r="A236" s="158" t="s">
        <v>513</v>
      </c>
      <c r="B236" s="158" t="s">
        <v>540</v>
      </c>
      <c r="C236" s="158" t="s">
        <v>121</v>
      </c>
      <c r="D236" s="159" t="s">
        <v>253</v>
      </c>
      <c r="E236" s="159" t="s">
        <v>14</v>
      </c>
      <c r="F236" s="159" t="s">
        <v>14</v>
      </c>
      <c r="G236" s="159" t="s">
        <v>14</v>
      </c>
      <c r="H236" s="159" t="s">
        <v>14</v>
      </c>
      <c r="I236" s="159" t="s">
        <v>15</v>
      </c>
      <c r="J236" s="159" t="s">
        <v>527</v>
      </c>
      <c r="K236" s="159" t="s">
        <v>541</v>
      </c>
    </row>
    <row r="237" spans="1:11" s="20" customFormat="1" ht="55.15" customHeight="1" x14ac:dyDescent="0.2">
      <c r="A237" s="158" t="s">
        <v>513</v>
      </c>
      <c r="B237" s="158" t="s">
        <v>542</v>
      </c>
      <c r="C237" s="158" t="s">
        <v>121</v>
      </c>
      <c r="D237" s="159" t="s">
        <v>253</v>
      </c>
      <c r="E237" s="159" t="s">
        <v>14</v>
      </c>
      <c r="F237" s="159" t="s">
        <v>14</v>
      </c>
      <c r="G237" s="159" t="s">
        <v>14</v>
      </c>
      <c r="H237" s="159" t="s">
        <v>14</v>
      </c>
      <c r="I237" s="159" t="s">
        <v>15</v>
      </c>
      <c r="J237" s="159" t="s">
        <v>543</v>
      </c>
      <c r="K237" s="159" t="s">
        <v>544</v>
      </c>
    </row>
    <row r="238" spans="1:11" s="20" customFormat="1" ht="26.45" customHeight="1" x14ac:dyDescent="0.2">
      <c r="A238" s="158" t="s">
        <v>513</v>
      </c>
      <c r="B238" s="158" t="s">
        <v>545</v>
      </c>
      <c r="C238" s="158" t="s">
        <v>121</v>
      </c>
      <c r="D238" s="159" t="s">
        <v>253</v>
      </c>
      <c r="E238" s="159" t="s">
        <v>14</v>
      </c>
      <c r="F238" s="159" t="s">
        <v>14</v>
      </c>
      <c r="G238" s="159" t="s">
        <v>14</v>
      </c>
      <c r="H238" s="159" t="s">
        <v>14</v>
      </c>
      <c r="I238" s="159" t="s">
        <v>15</v>
      </c>
      <c r="J238" s="159" t="s">
        <v>546</v>
      </c>
      <c r="K238" s="159" t="s">
        <v>547</v>
      </c>
    </row>
    <row r="239" spans="1:11" s="20" customFormat="1" ht="36.6" customHeight="1" x14ac:dyDescent="0.2">
      <c r="A239" s="158" t="s">
        <v>513</v>
      </c>
      <c r="B239" s="158" t="s">
        <v>548</v>
      </c>
      <c r="C239" s="158" t="s">
        <v>121</v>
      </c>
      <c r="D239" s="159" t="s">
        <v>253</v>
      </c>
      <c r="E239" s="159" t="s">
        <v>14</v>
      </c>
      <c r="F239" s="159" t="s">
        <v>14</v>
      </c>
      <c r="G239" s="159" t="s">
        <v>14</v>
      </c>
      <c r="H239" s="159" t="s">
        <v>14</v>
      </c>
      <c r="I239" s="159" t="s">
        <v>15</v>
      </c>
      <c r="J239" s="159"/>
      <c r="K239" s="159" t="s">
        <v>549</v>
      </c>
    </row>
    <row r="240" spans="1:11" s="20" customFormat="1" ht="35.450000000000003" customHeight="1" x14ac:dyDescent="0.2">
      <c r="A240" s="158" t="s">
        <v>513</v>
      </c>
      <c r="B240" s="158" t="s">
        <v>550</v>
      </c>
      <c r="C240" s="158" t="s">
        <v>121</v>
      </c>
      <c r="D240" s="159" t="s">
        <v>253</v>
      </c>
      <c r="E240" s="159" t="s">
        <v>14</v>
      </c>
      <c r="F240" s="159" t="s">
        <v>14</v>
      </c>
      <c r="G240" s="159" t="s">
        <v>14</v>
      </c>
      <c r="H240" s="159" t="s">
        <v>14</v>
      </c>
      <c r="I240" s="159" t="s">
        <v>15</v>
      </c>
      <c r="J240" s="159" t="s">
        <v>551</v>
      </c>
      <c r="K240" s="159" t="s">
        <v>552</v>
      </c>
    </row>
    <row r="241" spans="1:11" s="20" customFormat="1" ht="33.75" x14ac:dyDescent="0.2">
      <c r="A241" s="158" t="s">
        <v>513</v>
      </c>
      <c r="B241" s="158" t="s">
        <v>553</v>
      </c>
      <c r="C241" s="158" t="s">
        <v>121</v>
      </c>
      <c r="D241" s="159" t="s">
        <v>253</v>
      </c>
      <c r="E241" s="159" t="s">
        <v>14</v>
      </c>
      <c r="F241" s="159" t="s">
        <v>14</v>
      </c>
      <c r="G241" s="159" t="s">
        <v>14</v>
      </c>
      <c r="H241" s="159"/>
      <c r="I241" s="159" t="s">
        <v>15</v>
      </c>
      <c r="J241" s="159" t="s">
        <v>551</v>
      </c>
      <c r="K241" s="159" t="s">
        <v>554</v>
      </c>
    </row>
    <row r="242" spans="1:11" s="20" customFormat="1" ht="56.25" x14ac:dyDescent="0.2">
      <c r="A242" s="158" t="s">
        <v>513</v>
      </c>
      <c r="B242" s="158" t="s">
        <v>555</v>
      </c>
      <c r="C242" s="158" t="s">
        <v>121</v>
      </c>
      <c r="D242" s="159" t="s">
        <v>253</v>
      </c>
      <c r="E242" s="159" t="s">
        <v>14</v>
      </c>
      <c r="F242" s="159" t="s">
        <v>14</v>
      </c>
      <c r="G242" s="159" t="s">
        <v>14</v>
      </c>
      <c r="H242" s="159" t="s">
        <v>14</v>
      </c>
      <c r="I242" s="159" t="s">
        <v>15</v>
      </c>
      <c r="J242" s="159" t="s">
        <v>556</v>
      </c>
      <c r="K242" s="159" t="s">
        <v>557</v>
      </c>
    </row>
    <row r="243" spans="1:11" s="20" customFormat="1" ht="33.75" x14ac:dyDescent="0.2">
      <c r="A243" s="158" t="s">
        <v>513</v>
      </c>
      <c r="B243" s="158" t="s">
        <v>558</v>
      </c>
      <c r="C243" s="158" t="s">
        <v>121</v>
      </c>
      <c r="D243" s="159" t="s">
        <v>253</v>
      </c>
      <c r="E243" s="159" t="s">
        <v>14</v>
      </c>
      <c r="F243" s="159" t="s">
        <v>14</v>
      </c>
      <c r="G243" s="159" t="s">
        <v>14</v>
      </c>
      <c r="H243" s="159" t="s">
        <v>14</v>
      </c>
      <c r="I243" s="159" t="s">
        <v>15</v>
      </c>
      <c r="J243" s="159"/>
      <c r="K243" s="159" t="s">
        <v>559</v>
      </c>
    </row>
    <row r="244" spans="1:11" s="20" customFormat="1" ht="57.6" customHeight="1" x14ac:dyDescent="0.2">
      <c r="A244" s="158" t="s">
        <v>513</v>
      </c>
      <c r="B244" s="158" t="s">
        <v>560</v>
      </c>
      <c r="C244" s="158" t="s">
        <v>418</v>
      </c>
      <c r="D244" s="159" t="s">
        <v>253</v>
      </c>
      <c r="E244" s="159"/>
      <c r="F244" s="159" t="s">
        <v>14</v>
      </c>
      <c r="G244" s="159" t="s">
        <v>14</v>
      </c>
      <c r="H244" s="159" t="s">
        <v>14</v>
      </c>
      <c r="I244" s="159" t="s">
        <v>15</v>
      </c>
      <c r="J244" s="159" t="s">
        <v>561</v>
      </c>
      <c r="K244" s="159" t="s">
        <v>562</v>
      </c>
    </row>
    <row r="245" spans="1:11" s="20" customFormat="1" ht="65.45" customHeight="1" x14ac:dyDescent="0.2">
      <c r="A245" s="158" t="s">
        <v>513</v>
      </c>
      <c r="B245" s="158" t="s">
        <v>563</v>
      </c>
      <c r="C245" s="158" t="s">
        <v>418</v>
      </c>
      <c r="D245" s="159" t="s">
        <v>253</v>
      </c>
      <c r="E245" s="159" t="s">
        <v>14</v>
      </c>
      <c r="F245" s="159" t="s">
        <v>14</v>
      </c>
      <c r="G245" s="159" t="s">
        <v>14</v>
      </c>
      <c r="H245" s="159" t="s">
        <v>14</v>
      </c>
      <c r="I245" s="159" t="s">
        <v>15</v>
      </c>
      <c r="J245" s="159"/>
      <c r="K245" s="159" t="s">
        <v>564</v>
      </c>
    </row>
    <row r="246" spans="1:11" s="20" customFormat="1" ht="90" x14ac:dyDescent="0.2">
      <c r="A246" s="158" t="s">
        <v>513</v>
      </c>
      <c r="B246" s="158" t="s">
        <v>569</v>
      </c>
      <c r="C246" s="158" t="s">
        <v>121</v>
      </c>
      <c r="D246" s="159" t="s">
        <v>253</v>
      </c>
      <c r="E246" s="159"/>
      <c r="F246" s="159" t="s">
        <v>14</v>
      </c>
      <c r="G246" s="159" t="s">
        <v>14</v>
      </c>
      <c r="H246" s="159" t="s">
        <v>14</v>
      </c>
      <c r="I246" s="159" t="s">
        <v>15</v>
      </c>
      <c r="J246" s="159" t="s">
        <v>565</v>
      </c>
      <c r="K246" s="159" t="s">
        <v>566</v>
      </c>
    </row>
    <row r="247" spans="1:11" s="20" customFormat="1" ht="26.45" customHeight="1" x14ac:dyDescent="0.2">
      <c r="A247" s="158" t="s">
        <v>513</v>
      </c>
      <c r="B247" s="158" t="s">
        <v>570</v>
      </c>
      <c r="C247" s="158" t="s">
        <v>121</v>
      </c>
      <c r="D247" s="159" t="s">
        <v>253</v>
      </c>
      <c r="E247" s="159" t="s">
        <v>14</v>
      </c>
      <c r="F247" s="159" t="s">
        <v>14</v>
      </c>
      <c r="G247" s="159" t="s">
        <v>14</v>
      </c>
      <c r="H247" s="159" t="s">
        <v>14</v>
      </c>
      <c r="I247" s="159" t="s">
        <v>15</v>
      </c>
      <c r="J247" s="159" t="s">
        <v>567</v>
      </c>
      <c r="K247" s="159" t="s">
        <v>568</v>
      </c>
    </row>
    <row r="248" spans="1:11" s="20" customFormat="1" ht="45" x14ac:dyDescent="0.2">
      <c r="A248" s="158" t="s">
        <v>513</v>
      </c>
      <c r="B248" s="158" t="s">
        <v>571</v>
      </c>
      <c r="C248" s="158" t="s">
        <v>572</v>
      </c>
      <c r="D248" s="159" t="s">
        <v>253</v>
      </c>
      <c r="E248" s="159" t="s">
        <v>14</v>
      </c>
      <c r="F248" s="159" t="s">
        <v>14</v>
      </c>
      <c r="G248" s="159" t="s">
        <v>14</v>
      </c>
      <c r="H248" s="159" t="s">
        <v>14</v>
      </c>
      <c r="I248" s="159" t="s">
        <v>15</v>
      </c>
      <c r="J248" s="159" t="s">
        <v>573</v>
      </c>
      <c r="K248" s="159" t="s">
        <v>574</v>
      </c>
    </row>
    <row r="249" spans="1:11" s="20" customFormat="1" ht="67.5" x14ac:dyDescent="0.2">
      <c r="A249" s="158" t="s">
        <v>513</v>
      </c>
      <c r="B249" s="158" t="s">
        <v>575</v>
      </c>
      <c r="C249" s="158" t="s">
        <v>572</v>
      </c>
      <c r="D249" s="159" t="s">
        <v>253</v>
      </c>
      <c r="E249" s="159" t="s">
        <v>14</v>
      </c>
      <c r="F249" s="159" t="s">
        <v>14</v>
      </c>
      <c r="G249" s="159" t="s">
        <v>14</v>
      </c>
      <c r="H249" s="159" t="s">
        <v>14</v>
      </c>
      <c r="I249" s="159" t="s">
        <v>15</v>
      </c>
      <c r="J249" s="159" t="s">
        <v>576</v>
      </c>
      <c r="K249" s="159" t="s">
        <v>577</v>
      </c>
    </row>
    <row r="250" spans="1:11" s="20" customFormat="1" ht="78.75" x14ac:dyDescent="0.2">
      <c r="A250" s="158" t="s">
        <v>513</v>
      </c>
      <c r="B250" s="158" t="s">
        <v>578</v>
      </c>
      <c r="C250" s="158" t="s">
        <v>56</v>
      </c>
      <c r="D250" s="159" t="s">
        <v>253</v>
      </c>
      <c r="E250" s="159"/>
      <c r="F250" s="159" t="s">
        <v>14</v>
      </c>
      <c r="G250" s="159" t="s">
        <v>14</v>
      </c>
      <c r="H250" s="159" t="s">
        <v>14</v>
      </c>
      <c r="I250" s="159" t="s">
        <v>15</v>
      </c>
      <c r="J250" s="159" t="s">
        <v>579</v>
      </c>
      <c r="K250" s="159" t="s">
        <v>580</v>
      </c>
    </row>
    <row r="251" spans="1:11" s="20" customFormat="1" ht="45" x14ac:dyDescent="0.2">
      <c r="A251" s="158" t="s">
        <v>513</v>
      </c>
      <c r="B251" s="158" t="s">
        <v>581</v>
      </c>
      <c r="C251" s="158" t="s">
        <v>121</v>
      </c>
      <c r="D251" s="159" t="s">
        <v>253</v>
      </c>
      <c r="E251" s="159"/>
      <c r="F251" s="159" t="s">
        <v>14</v>
      </c>
      <c r="G251" s="159" t="s">
        <v>14</v>
      </c>
      <c r="H251" s="159" t="s">
        <v>14</v>
      </c>
      <c r="I251" s="159" t="s">
        <v>582</v>
      </c>
      <c r="J251" s="159"/>
      <c r="K251" s="159" t="s">
        <v>583</v>
      </c>
    </row>
    <row r="252" spans="1:11" s="20" customFormat="1" ht="22.5" x14ac:dyDescent="0.2">
      <c r="A252" s="158" t="s">
        <v>513</v>
      </c>
      <c r="B252" s="158" t="s">
        <v>584</v>
      </c>
      <c r="C252" s="158" t="s">
        <v>176</v>
      </c>
      <c r="D252" s="159" t="s">
        <v>253</v>
      </c>
      <c r="E252" s="159"/>
      <c r="F252" s="159" t="s">
        <v>14</v>
      </c>
      <c r="G252" s="159" t="s">
        <v>14</v>
      </c>
      <c r="H252" s="159" t="s">
        <v>14</v>
      </c>
      <c r="I252" s="159" t="s">
        <v>582</v>
      </c>
      <c r="J252" s="159"/>
      <c r="K252" s="159" t="s">
        <v>585</v>
      </c>
    </row>
    <row r="253" spans="1:11" s="20" customFormat="1" ht="22.5" x14ac:dyDescent="0.2">
      <c r="A253" s="158" t="s">
        <v>664</v>
      </c>
      <c r="B253" s="158" t="s">
        <v>656</v>
      </c>
      <c r="C253" s="160" t="s">
        <v>75</v>
      </c>
      <c r="D253" s="159" t="s">
        <v>306</v>
      </c>
      <c r="E253" s="159" t="s">
        <v>43</v>
      </c>
      <c r="F253" s="159" t="s">
        <v>43</v>
      </c>
      <c r="G253" s="159" t="s">
        <v>43</v>
      </c>
      <c r="H253" s="159" t="s">
        <v>43</v>
      </c>
      <c r="I253" s="159" t="s">
        <v>657</v>
      </c>
      <c r="J253" s="159" t="s">
        <v>658</v>
      </c>
      <c r="K253" s="159"/>
    </row>
    <row r="254" spans="1:11" s="20" customFormat="1" ht="33.75" x14ac:dyDescent="0.2">
      <c r="A254" s="158" t="s">
        <v>664</v>
      </c>
      <c r="B254" s="158" t="s">
        <v>659</v>
      </c>
      <c r="C254" s="161" t="s">
        <v>164</v>
      </c>
      <c r="D254" s="159" t="s">
        <v>306</v>
      </c>
      <c r="E254" s="159" t="s">
        <v>43</v>
      </c>
      <c r="F254" s="159" t="s">
        <v>43</v>
      </c>
      <c r="G254" s="159" t="s">
        <v>43</v>
      </c>
      <c r="H254" s="159" t="s">
        <v>43</v>
      </c>
      <c r="I254" s="159" t="s">
        <v>660</v>
      </c>
      <c r="J254" s="159" t="s">
        <v>661</v>
      </c>
      <c r="K254" s="159"/>
    </row>
    <row r="255" spans="1:11" s="20" customFormat="1" ht="33.75" x14ac:dyDescent="0.2">
      <c r="A255" s="158" t="s">
        <v>664</v>
      </c>
      <c r="B255" s="158" t="s">
        <v>662</v>
      </c>
      <c r="C255" s="160" t="s">
        <v>75</v>
      </c>
      <c r="D255" s="159" t="s">
        <v>306</v>
      </c>
      <c r="E255" s="159" t="s">
        <v>43</v>
      </c>
      <c r="F255" s="159" t="s">
        <v>43</v>
      </c>
      <c r="G255" s="159" t="s">
        <v>43</v>
      </c>
      <c r="H255" s="159" t="s">
        <v>43</v>
      </c>
      <c r="I255" s="159" t="s">
        <v>663</v>
      </c>
      <c r="J255" s="159" t="s">
        <v>658</v>
      </c>
      <c r="K255" s="159"/>
    </row>
    <row r="256" spans="1:11" s="20" customFormat="1" ht="33.75" x14ac:dyDescent="0.2">
      <c r="A256" s="158" t="s">
        <v>588</v>
      </c>
      <c r="B256" s="158" t="s">
        <v>500</v>
      </c>
      <c r="C256" s="158" t="s">
        <v>114</v>
      </c>
      <c r="D256" s="159" t="s">
        <v>13</v>
      </c>
      <c r="E256" s="159" t="s">
        <v>14</v>
      </c>
      <c r="F256" s="159" t="s">
        <v>43</v>
      </c>
      <c r="G256" s="159" t="s">
        <v>13</v>
      </c>
      <c r="H256" s="159" t="s">
        <v>589</v>
      </c>
      <c r="I256" s="159" t="s">
        <v>15</v>
      </c>
      <c r="J256" s="159" t="s">
        <v>590</v>
      </c>
      <c r="K256" s="159" t="s">
        <v>591</v>
      </c>
    </row>
    <row r="257" spans="1:11" s="20" customFormat="1" ht="97.15" customHeight="1" x14ac:dyDescent="0.2">
      <c r="A257" s="158" t="s">
        <v>588</v>
      </c>
      <c r="B257" s="158" t="s">
        <v>592</v>
      </c>
      <c r="C257" s="158" t="s">
        <v>114</v>
      </c>
      <c r="D257" s="159" t="s">
        <v>13</v>
      </c>
      <c r="E257" s="159" t="s">
        <v>14</v>
      </c>
      <c r="F257" s="159" t="s">
        <v>43</v>
      </c>
      <c r="G257" s="159" t="s">
        <v>13</v>
      </c>
      <c r="H257" s="159" t="s">
        <v>589</v>
      </c>
      <c r="I257" s="159" t="s">
        <v>15</v>
      </c>
      <c r="J257" s="159" t="s">
        <v>593</v>
      </c>
      <c r="K257" s="159" t="s">
        <v>594</v>
      </c>
    </row>
    <row r="258" spans="1:11" s="20" customFormat="1" ht="95.45" customHeight="1" x14ac:dyDescent="0.2">
      <c r="A258" s="158" t="s">
        <v>588</v>
      </c>
      <c r="B258" s="158" t="s">
        <v>443</v>
      </c>
      <c r="C258" s="158" t="s">
        <v>243</v>
      </c>
      <c r="D258" s="159" t="s">
        <v>13</v>
      </c>
      <c r="E258" s="159" t="s">
        <v>13</v>
      </c>
      <c r="F258" s="159" t="s">
        <v>13</v>
      </c>
      <c r="G258" s="159"/>
      <c r="H258" s="159" t="s">
        <v>13</v>
      </c>
      <c r="I258" s="159" t="s">
        <v>40</v>
      </c>
      <c r="J258" s="159"/>
      <c r="K258" s="159" t="s">
        <v>595</v>
      </c>
    </row>
    <row r="259" spans="1:11" s="20" customFormat="1" ht="209.45" customHeight="1" x14ac:dyDescent="0.2">
      <c r="A259" s="158" t="s">
        <v>588</v>
      </c>
      <c r="B259" s="158" t="s">
        <v>173</v>
      </c>
      <c r="C259" s="158" t="s">
        <v>75</v>
      </c>
      <c r="D259" s="159" t="s">
        <v>13</v>
      </c>
      <c r="E259" s="159" t="s">
        <v>13</v>
      </c>
      <c r="F259" s="159" t="s">
        <v>13</v>
      </c>
      <c r="G259" s="159"/>
      <c r="H259" s="159" t="s">
        <v>13</v>
      </c>
      <c r="I259" s="159" t="s">
        <v>15</v>
      </c>
      <c r="J259" s="159" t="s">
        <v>596</v>
      </c>
      <c r="K259" s="159" t="s">
        <v>597</v>
      </c>
    </row>
    <row r="260" spans="1:11" s="20" customFormat="1" ht="55.15" customHeight="1" x14ac:dyDescent="0.2">
      <c r="A260" s="158" t="s">
        <v>588</v>
      </c>
      <c r="B260" s="158" t="s">
        <v>598</v>
      </c>
      <c r="C260" s="158" t="s">
        <v>75</v>
      </c>
      <c r="D260" s="159" t="s">
        <v>13</v>
      </c>
      <c r="E260" s="159" t="s">
        <v>14</v>
      </c>
      <c r="F260" s="159" t="s">
        <v>14</v>
      </c>
      <c r="G260" s="159" t="s">
        <v>13</v>
      </c>
      <c r="H260" s="159" t="s">
        <v>13</v>
      </c>
      <c r="I260" s="159" t="s">
        <v>15</v>
      </c>
      <c r="J260" s="159" t="s">
        <v>599</v>
      </c>
      <c r="K260" s="159" t="s">
        <v>600</v>
      </c>
    </row>
    <row r="261" spans="1:11" s="20" customFormat="1" ht="25.15" customHeight="1" x14ac:dyDescent="0.2">
      <c r="A261" s="158" t="s">
        <v>588</v>
      </c>
      <c r="B261" s="158" t="s">
        <v>601</v>
      </c>
      <c r="C261" s="158" t="s">
        <v>176</v>
      </c>
      <c r="D261" s="159" t="s">
        <v>13</v>
      </c>
      <c r="E261" s="159" t="s">
        <v>13</v>
      </c>
      <c r="F261" s="159" t="s">
        <v>13</v>
      </c>
      <c r="G261" s="159"/>
      <c r="H261" s="159" t="s">
        <v>13</v>
      </c>
      <c r="I261" s="159" t="s">
        <v>15</v>
      </c>
      <c r="J261" s="159" t="s">
        <v>602</v>
      </c>
      <c r="K261" s="159" t="s">
        <v>603</v>
      </c>
    </row>
    <row r="262" spans="1:11" s="20" customFormat="1" ht="24" customHeight="1" x14ac:dyDescent="0.2">
      <c r="A262" s="158" t="s">
        <v>588</v>
      </c>
      <c r="B262" s="158" t="s">
        <v>604</v>
      </c>
      <c r="C262" s="158" t="s">
        <v>72</v>
      </c>
      <c r="D262" s="159" t="s">
        <v>13</v>
      </c>
      <c r="E262" s="159" t="s">
        <v>14</v>
      </c>
      <c r="F262" s="159" t="s">
        <v>14</v>
      </c>
      <c r="G262" s="159" t="s">
        <v>13</v>
      </c>
      <c r="H262" s="159" t="s">
        <v>13</v>
      </c>
      <c r="I262" s="159" t="s">
        <v>15</v>
      </c>
      <c r="J262" s="159" t="s">
        <v>605</v>
      </c>
      <c r="K262" s="159" t="s">
        <v>606</v>
      </c>
    </row>
    <row r="263" spans="1:11" s="20" customFormat="1" ht="25.15" customHeight="1" x14ac:dyDescent="0.2">
      <c r="A263" s="158" t="s">
        <v>588</v>
      </c>
      <c r="B263" s="158" t="s">
        <v>607</v>
      </c>
      <c r="C263" s="158" t="s">
        <v>187</v>
      </c>
      <c r="D263" s="159" t="s">
        <v>13</v>
      </c>
      <c r="E263" s="159" t="s">
        <v>14</v>
      </c>
      <c r="F263" s="159" t="s">
        <v>14</v>
      </c>
      <c r="G263" s="159" t="s">
        <v>13</v>
      </c>
      <c r="H263" s="159" t="s">
        <v>13</v>
      </c>
      <c r="I263" s="159" t="s">
        <v>15</v>
      </c>
      <c r="J263" s="159" t="s">
        <v>608</v>
      </c>
      <c r="K263" s="159" t="s">
        <v>609</v>
      </c>
    </row>
    <row r="264" spans="1:11" s="20" customFormat="1" ht="34.9" customHeight="1" x14ac:dyDescent="0.2">
      <c r="A264" s="158" t="s">
        <v>588</v>
      </c>
      <c r="B264" s="158" t="s">
        <v>610</v>
      </c>
      <c r="C264" s="158" t="s">
        <v>189</v>
      </c>
      <c r="D264" s="159" t="s">
        <v>13</v>
      </c>
      <c r="E264" s="159" t="s">
        <v>13</v>
      </c>
      <c r="F264" s="159" t="s">
        <v>14</v>
      </c>
      <c r="G264" s="159" t="s">
        <v>14</v>
      </c>
      <c r="H264" s="159" t="s">
        <v>13</v>
      </c>
      <c r="I264" s="159" t="s">
        <v>15</v>
      </c>
      <c r="J264" s="159"/>
      <c r="K264" s="159"/>
    </row>
    <row r="265" spans="1:11" s="20" customFormat="1" ht="123.75" x14ac:dyDescent="0.2">
      <c r="A265" s="158" t="s">
        <v>611</v>
      </c>
      <c r="B265" s="158" t="s">
        <v>612</v>
      </c>
      <c r="C265" s="158" t="s">
        <v>34</v>
      </c>
      <c r="D265" s="159" t="s">
        <v>14</v>
      </c>
      <c r="E265" s="159" t="s">
        <v>14</v>
      </c>
      <c r="F265" s="159" t="s">
        <v>14</v>
      </c>
      <c r="G265" s="159" t="s">
        <v>14</v>
      </c>
      <c r="H265" s="159" t="s">
        <v>14</v>
      </c>
      <c r="I265" s="159" t="s">
        <v>15</v>
      </c>
      <c r="J265" s="159" t="s">
        <v>613</v>
      </c>
      <c r="K265" s="159"/>
    </row>
    <row r="266" spans="1:11" s="20" customFormat="1" ht="123.75" x14ac:dyDescent="0.2">
      <c r="A266" s="158" t="s">
        <v>611</v>
      </c>
      <c r="B266" s="158" t="s">
        <v>614</v>
      </c>
      <c r="C266" s="158" t="s">
        <v>72</v>
      </c>
      <c r="D266" s="159" t="s">
        <v>14</v>
      </c>
      <c r="E266" s="159" t="s">
        <v>253</v>
      </c>
      <c r="F266" s="159" t="s">
        <v>14</v>
      </c>
      <c r="G266" s="159" t="s">
        <v>14</v>
      </c>
      <c r="H266" s="159" t="s">
        <v>14</v>
      </c>
      <c r="I266" s="159" t="s">
        <v>15</v>
      </c>
      <c r="J266" s="159" t="s">
        <v>615</v>
      </c>
      <c r="K266" s="159"/>
    </row>
    <row r="267" spans="1:11" s="20" customFormat="1" ht="270" x14ac:dyDescent="0.2">
      <c r="A267" s="158" t="s">
        <v>611</v>
      </c>
      <c r="B267" s="158" t="s">
        <v>616</v>
      </c>
      <c r="C267" s="158" t="s">
        <v>187</v>
      </c>
      <c r="D267" s="159" t="s">
        <v>253</v>
      </c>
      <c r="E267" s="159" t="s">
        <v>253</v>
      </c>
      <c r="F267" s="159" t="s">
        <v>14</v>
      </c>
      <c r="G267" s="159" t="s">
        <v>14</v>
      </c>
      <c r="H267" s="159" t="s">
        <v>14</v>
      </c>
      <c r="I267" s="159" t="s">
        <v>15</v>
      </c>
      <c r="J267" s="159" t="s">
        <v>617</v>
      </c>
      <c r="K267" s="159" t="s">
        <v>618</v>
      </c>
    </row>
    <row r="268" spans="1:11" s="21" customFormat="1" ht="73.150000000000006" customHeight="1" x14ac:dyDescent="0.2">
      <c r="A268" s="158" t="s">
        <v>611</v>
      </c>
      <c r="B268" s="158" t="s">
        <v>619</v>
      </c>
      <c r="C268" s="158" t="s">
        <v>121</v>
      </c>
      <c r="D268" s="159" t="s">
        <v>13</v>
      </c>
      <c r="E268" s="159" t="s">
        <v>14</v>
      </c>
      <c r="F268" s="159" t="s">
        <v>13</v>
      </c>
      <c r="G268" s="159" t="s">
        <v>13</v>
      </c>
      <c r="H268" s="159" t="s">
        <v>14</v>
      </c>
      <c r="I268" s="159" t="s">
        <v>125</v>
      </c>
      <c r="J268" s="159" t="s">
        <v>620</v>
      </c>
      <c r="K268" s="159" t="s">
        <v>621</v>
      </c>
    </row>
  </sheetData>
  <sortState ref="A2:K268">
    <sortCondition ref="A263"/>
  </sortState>
  <printOptions gridLines="1"/>
  <pageMargins left="0.7" right="0.7" top="0.75" bottom="0.75" header="0.3" footer="0.3"/>
  <pageSetup paperSize="9" orientation="landscape" r:id="rId1"/>
  <customProperties>
    <customPr name="DVSECTION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V18"/>
  <sheetViews>
    <sheetView workbookViewId="0">
      <selection activeCell="CH18" sqref="CH18"/>
    </sheetView>
  </sheetViews>
  <sheetFormatPr defaultRowHeight="15" x14ac:dyDescent="0.25"/>
  <sheetData>
    <row r="1" spans="1:256" x14ac:dyDescent="0.3">
      <c r="A1" t="e">
        <f>IF(Gagnasett!1:1,"AAAAAEOu+QA=",0)</f>
        <v>#VALUE!</v>
      </c>
      <c r="B1" t="e">
        <f>AND(Gagnasett!A1,"AAAAAEOu+QE=")</f>
        <v>#VALUE!</v>
      </c>
      <c r="C1" t="e">
        <f>AND(Gagnasett!B1,"AAAAAEOu+QI=")</f>
        <v>#VALUE!</v>
      </c>
      <c r="D1" t="e">
        <f>AND(Gagnasett!C1,"AAAAAEOu+QM=")</f>
        <v>#VALUE!</v>
      </c>
      <c r="E1" t="e">
        <f>AND(Gagnasett!D1,"AAAAAEOu+QQ=")</f>
        <v>#VALUE!</v>
      </c>
      <c r="F1" t="e">
        <f>AND(Gagnasett!E1,"AAAAAEOu+QU=")</f>
        <v>#VALUE!</v>
      </c>
      <c r="G1" t="e">
        <f>AND(Gagnasett!F1,"AAAAAEOu+QY=")</f>
        <v>#VALUE!</v>
      </c>
      <c r="H1" t="e">
        <f>AND(Gagnasett!G1,"AAAAAEOu+Qc=")</f>
        <v>#VALUE!</v>
      </c>
      <c r="I1" t="e">
        <f>AND(Gagnasett!H1,"AAAAAEOu+Qg=")</f>
        <v>#VALUE!</v>
      </c>
      <c r="J1" t="e">
        <f>AND(Gagnasett!I1,"AAAAAEOu+Qk=")</f>
        <v>#VALUE!</v>
      </c>
      <c r="K1" t="e">
        <f>AND(Gagnasett!J1,"AAAAAEOu+Qo=")</f>
        <v>#VALUE!</v>
      </c>
      <c r="L1" t="e">
        <f>AND(Gagnasett!K1,"AAAAAEOu+Qs=")</f>
        <v>#VALUE!</v>
      </c>
      <c r="M1">
        <f>IF(Gagnasett!2:2,"AAAAAEOu+Qw=",0)</f>
        <v>0</v>
      </c>
      <c r="N1" t="e">
        <f>AND(Gagnasett!A2,"AAAAAEOu+Q0=")</f>
        <v>#VALUE!</v>
      </c>
      <c r="O1" t="e">
        <f>AND(Gagnasett!B2,"AAAAAEOu+Q4=")</f>
        <v>#VALUE!</v>
      </c>
      <c r="P1" t="e">
        <f>AND(Gagnasett!C2,"AAAAAEOu+Q8=")</f>
        <v>#VALUE!</v>
      </c>
      <c r="Q1" t="e">
        <f>AND(Gagnasett!D2,"AAAAAEOu+RA=")</f>
        <v>#VALUE!</v>
      </c>
      <c r="R1" t="e">
        <f>AND(Gagnasett!E2,"AAAAAEOu+RE=")</f>
        <v>#VALUE!</v>
      </c>
      <c r="S1" t="e">
        <f>AND(Gagnasett!F2,"AAAAAEOu+RI=")</f>
        <v>#VALUE!</v>
      </c>
      <c r="T1" t="e">
        <f>AND(Gagnasett!G2,"AAAAAEOu+RM=")</f>
        <v>#VALUE!</v>
      </c>
      <c r="U1" t="e">
        <f>AND(Gagnasett!H2,"AAAAAEOu+RQ=")</f>
        <v>#VALUE!</v>
      </c>
      <c r="V1" t="e">
        <f>AND(Gagnasett!I2,"AAAAAEOu+RU=")</f>
        <v>#VALUE!</v>
      </c>
      <c r="W1" t="e">
        <f>AND(Gagnasett!J2,"AAAAAEOu+RY=")</f>
        <v>#VALUE!</v>
      </c>
      <c r="X1" t="e">
        <f>AND(Gagnasett!K2,"AAAAAEOu+Rc=")</f>
        <v>#VALUE!</v>
      </c>
      <c r="Y1">
        <f>IF(Gagnasett!3:3,"AAAAAEOu+Rg=",0)</f>
        <v>0</v>
      </c>
      <c r="Z1" t="e">
        <f>AND(Gagnasett!A3,"AAAAAEOu+Rk=")</f>
        <v>#VALUE!</v>
      </c>
      <c r="AA1" t="e">
        <f>AND(Gagnasett!B3,"AAAAAEOu+Ro=")</f>
        <v>#VALUE!</v>
      </c>
      <c r="AB1" t="e">
        <f>AND(Gagnasett!C3,"AAAAAEOu+Rs=")</f>
        <v>#VALUE!</v>
      </c>
      <c r="AC1" t="e">
        <f>AND(Gagnasett!D3,"AAAAAEOu+Rw=")</f>
        <v>#VALUE!</v>
      </c>
      <c r="AD1" t="e">
        <f>AND(Gagnasett!E3,"AAAAAEOu+R0=")</f>
        <v>#VALUE!</v>
      </c>
      <c r="AE1" t="e">
        <f>AND(Gagnasett!F3,"AAAAAEOu+R4=")</f>
        <v>#VALUE!</v>
      </c>
      <c r="AF1" t="e">
        <f>AND(Gagnasett!G3,"AAAAAEOu+R8=")</f>
        <v>#VALUE!</v>
      </c>
      <c r="AG1" t="e">
        <f>AND(Gagnasett!H3,"AAAAAEOu+SA=")</f>
        <v>#VALUE!</v>
      </c>
      <c r="AH1" t="e">
        <f>AND(Gagnasett!I3,"AAAAAEOu+SE=")</f>
        <v>#VALUE!</v>
      </c>
      <c r="AI1" t="e">
        <f>AND(Gagnasett!J3,"AAAAAEOu+SI=")</f>
        <v>#VALUE!</v>
      </c>
      <c r="AJ1" t="e">
        <f>AND(Gagnasett!K3,"AAAAAEOu+SM=")</f>
        <v>#VALUE!</v>
      </c>
      <c r="AK1">
        <f>IF(Gagnasett!4:4,"AAAAAEOu+SQ=",0)</f>
        <v>0</v>
      </c>
      <c r="AL1" t="e">
        <f>AND(Gagnasett!A4,"AAAAAEOu+SU=")</f>
        <v>#VALUE!</v>
      </c>
      <c r="AM1" t="e">
        <f>AND(Gagnasett!B4,"AAAAAEOu+SY=")</f>
        <v>#VALUE!</v>
      </c>
      <c r="AN1" t="e">
        <f>AND(Gagnasett!C4,"AAAAAEOu+Sc=")</f>
        <v>#VALUE!</v>
      </c>
      <c r="AO1" t="e">
        <f>AND(Gagnasett!D4,"AAAAAEOu+Sg=")</f>
        <v>#VALUE!</v>
      </c>
      <c r="AP1" t="e">
        <f>AND(Gagnasett!E4,"AAAAAEOu+Sk=")</f>
        <v>#VALUE!</v>
      </c>
      <c r="AQ1" t="e">
        <f>AND(Gagnasett!F4,"AAAAAEOu+So=")</f>
        <v>#VALUE!</v>
      </c>
      <c r="AR1" t="e">
        <f>AND(Gagnasett!G4,"AAAAAEOu+Ss=")</f>
        <v>#VALUE!</v>
      </c>
      <c r="AS1" t="e">
        <f>AND(Gagnasett!H4,"AAAAAEOu+Sw=")</f>
        <v>#VALUE!</v>
      </c>
      <c r="AT1" t="e">
        <f>AND(Gagnasett!I4,"AAAAAEOu+S0=")</f>
        <v>#VALUE!</v>
      </c>
      <c r="AU1" t="e">
        <f>AND(Gagnasett!J4,"AAAAAEOu+S4=")</f>
        <v>#VALUE!</v>
      </c>
      <c r="AV1" t="e">
        <f>AND(Gagnasett!K4,"AAAAAEOu+S8=")</f>
        <v>#VALUE!</v>
      </c>
      <c r="AW1">
        <f>IF(Gagnasett!5:5,"AAAAAEOu+TA=",0)</f>
        <v>0</v>
      </c>
      <c r="AX1" t="e">
        <f>AND(Gagnasett!A5,"AAAAAEOu+TE=")</f>
        <v>#VALUE!</v>
      </c>
      <c r="AY1" t="e">
        <f>AND(Gagnasett!B5,"AAAAAEOu+TI=")</f>
        <v>#VALUE!</v>
      </c>
      <c r="AZ1" t="e">
        <f>AND(Gagnasett!C5,"AAAAAEOu+TM=")</f>
        <v>#VALUE!</v>
      </c>
      <c r="BA1" t="e">
        <f>AND(Gagnasett!D5,"AAAAAEOu+TQ=")</f>
        <v>#VALUE!</v>
      </c>
      <c r="BB1" t="e">
        <f>AND(Gagnasett!E5,"AAAAAEOu+TU=")</f>
        <v>#VALUE!</v>
      </c>
      <c r="BC1" t="e">
        <f>AND(Gagnasett!F5,"AAAAAEOu+TY=")</f>
        <v>#VALUE!</v>
      </c>
      <c r="BD1" t="e">
        <f>AND(Gagnasett!G5,"AAAAAEOu+Tc=")</f>
        <v>#VALUE!</v>
      </c>
      <c r="BE1" t="e">
        <f>AND(Gagnasett!H5,"AAAAAEOu+Tg=")</f>
        <v>#VALUE!</v>
      </c>
      <c r="BF1" t="e">
        <f>AND(Gagnasett!I5,"AAAAAEOu+Tk=")</f>
        <v>#VALUE!</v>
      </c>
      <c r="BG1" t="e">
        <f>AND(Gagnasett!J5,"AAAAAEOu+To=")</f>
        <v>#VALUE!</v>
      </c>
      <c r="BH1" t="e">
        <f>AND(Gagnasett!K5,"AAAAAEOu+Ts=")</f>
        <v>#VALUE!</v>
      </c>
      <c r="BI1">
        <f>IF(Gagnasett!6:6,"AAAAAEOu+Tw=",0)</f>
        <v>0</v>
      </c>
      <c r="BJ1" t="e">
        <f>AND(Gagnasett!A6,"AAAAAEOu+T0=")</f>
        <v>#VALUE!</v>
      </c>
      <c r="BK1" t="e">
        <f>AND(Gagnasett!B6,"AAAAAEOu+T4=")</f>
        <v>#VALUE!</v>
      </c>
      <c r="BL1" t="e">
        <f>AND(Gagnasett!C6,"AAAAAEOu+T8=")</f>
        <v>#VALUE!</v>
      </c>
      <c r="BM1" t="e">
        <f>AND(Gagnasett!D6,"AAAAAEOu+UA=")</f>
        <v>#VALUE!</v>
      </c>
      <c r="BN1" t="e">
        <f>AND(Gagnasett!E6,"AAAAAEOu+UE=")</f>
        <v>#VALUE!</v>
      </c>
      <c r="BO1" t="e">
        <f>AND(Gagnasett!F6,"AAAAAEOu+UI=")</f>
        <v>#VALUE!</v>
      </c>
      <c r="BP1" t="e">
        <f>AND(Gagnasett!G6,"AAAAAEOu+UM=")</f>
        <v>#VALUE!</v>
      </c>
      <c r="BQ1" t="e">
        <f>AND(Gagnasett!H6,"AAAAAEOu+UQ=")</f>
        <v>#VALUE!</v>
      </c>
      <c r="BR1" t="e">
        <f>AND(Gagnasett!I6,"AAAAAEOu+UU=")</f>
        <v>#VALUE!</v>
      </c>
      <c r="BS1" t="e">
        <f>AND(Gagnasett!J6,"AAAAAEOu+UY=")</f>
        <v>#VALUE!</v>
      </c>
      <c r="BT1" t="e">
        <f>AND(Gagnasett!K6,"AAAAAEOu+Uc=")</f>
        <v>#VALUE!</v>
      </c>
      <c r="BU1">
        <f>IF(Gagnasett!7:7,"AAAAAEOu+Ug=",0)</f>
        <v>0</v>
      </c>
      <c r="BV1" t="e">
        <f>AND(Gagnasett!A7,"AAAAAEOu+Uk=")</f>
        <v>#VALUE!</v>
      </c>
      <c r="BW1" t="e">
        <f>AND(Gagnasett!B7,"AAAAAEOu+Uo=")</f>
        <v>#VALUE!</v>
      </c>
      <c r="BX1" t="e">
        <f>AND(Gagnasett!C7,"AAAAAEOu+Us=")</f>
        <v>#VALUE!</v>
      </c>
      <c r="BY1" t="e">
        <f>AND(Gagnasett!D7,"AAAAAEOu+Uw=")</f>
        <v>#VALUE!</v>
      </c>
      <c r="BZ1" t="e">
        <f>AND(Gagnasett!E7,"AAAAAEOu+U0=")</f>
        <v>#VALUE!</v>
      </c>
      <c r="CA1" t="e">
        <f>AND(Gagnasett!F7,"AAAAAEOu+U4=")</f>
        <v>#VALUE!</v>
      </c>
      <c r="CB1" t="e">
        <f>AND(Gagnasett!G7,"AAAAAEOu+U8=")</f>
        <v>#VALUE!</v>
      </c>
      <c r="CC1" t="e">
        <f>AND(Gagnasett!H7,"AAAAAEOu+VA=")</f>
        <v>#VALUE!</v>
      </c>
      <c r="CD1" t="e">
        <f>AND(Gagnasett!I7,"AAAAAEOu+VE=")</f>
        <v>#VALUE!</v>
      </c>
      <c r="CE1" t="e">
        <f>AND(Gagnasett!J7,"AAAAAEOu+VI=")</f>
        <v>#VALUE!</v>
      </c>
      <c r="CF1" t="e">
        <f>AND(Gagnasett!K7,"AAAAAEOu+VM=")</f>
        <v>#VALUE!</v>
      </c>
      <c r="CG1">
        <f>IF(Gagnasett!8:8,"AAAAAEOu+VQ=",0)</f>
        <v>0</v>
      </c>
      <c r="CH1" t="e">
        <f>AND(Gagnasett!A8,"AAAAAEOu+VU=")</f>
        <v>#VALUE!</v>
      </c>
      <c r="CI1" t="e">
        <f>AND(Gagnasett!B8,"AAAAAEOu+VY=")</f>
        <v>#VALUE!</v>
      </c>
      <c r="CJ1" t="e">
        <f>AND(Gagnasett!C8,"AAAAAEOu+Vc=")</f>
        <v>#VALUE!</v>
      </c>
      <c r="CK1" t="e">
        <f>AND(Gagnasett!D8,"AAAAAEOu+Vg=")</f>
        <v>#VALUE!</v>
      </c>
      <c r="CL1" t="e">
        <f>AND(Gagnasett!E8,"AAAAAEOu+Vk=")</f>
        <v>#VALUE!</v>
      </c>
      <c r="CM1" t="e">
        <f>AND(Gagnasett!F8,"AAAAAEOu+Vo=")</f>
        <v>#VALUE!</v>
      </c>
      <c r="CN1" t="e">
        <f>AND(Gagnasett!G8,"AAAAAEOu+Vs=")</f>
        <v>#VALUE!</v>
      </c>
      <c r="CO1" t="e">
        <f>AND(Gagnasett!H8,"AAAAAEOu+Vw=")</f>
        <v>#VALUE!</v>
      </c>
      <c r="CP1" t="e">
        <f>AND(Gagnasett!I8,"AAAAAEOu+V0=")</f>
        <v>#VALUE!</v>
      </c>
      <c r="CQ1" t="e">
        <f>AND(Gagnasett!J8,"AAAAAEOu+V4=")</f>
        <v>#VALUE!</v>
      </c>
      <c r="CR1" t="e">
        <f>AND(Gagnasett!K8,"AAAAAEOu+V8=")</f>
        <v>#VALUE!</v>
      </c>
      <c r="CS1">
        <f>IF(Gagnasett!9:9,"AAAAAEOu+WA=",0)</f>
        <v>0</v>
      </c>
      <c r="CT1" t="e">
        <f>AND(Gagnasett!A9,"AAAAAEOu+WE=")</f>
        <v>#VALUE!</v>
      </c>
      <c r="CU1" t="e">
        <f>AND(Gagnasett!B9,"AAAAAEOu+WI=")</f>
        <v>#VALUE!</v>
      </c>
      <c r="CV1" t="e">
        <f>AND(Gagnasett!C9,"AAAAAEOu+WM=")</f>
        <v>#VALUE!</v>
      </c>
      <c r="CW1" t="e">
        <f>AND(Gagnasett!D9,"AAAAAEOu+WQ=")</f>
        <v>#VALUE!</v>
      </c>
      <c r="CX1" t="e">
        <f>AND(Gagnasett!E9,"AAAAAEOu+WU=")</f>
        <v>#VALUE!</v>
      </c>
      <c r="CY1" t="e">
        <f>AND(Gagnasett!F9,"AAAAAEOu+WY=")</f>
        <v>#VALUE!</v>
      </c>
      <c r="CZ1" t="e">
        <f>AND(Gagnasett!G9,"AAAAAEOu+Wc=")</f>
        <v>#VALUE!</v>
      </c>
      <c r="DA1" t="e">
        <f>AND(Gagnasett!H9,"AAAAAEOu+Wg=")</f>
        <v>#VALUE!</v>
      </c>
      <c r="DB1" t="e">
        <f>AND(Gagnasett!I9,"AAAAAEOu+Wk=")</f>
        <v>#VALUE!</v>
      </c>
      <c r="DC1" t="e">
        <f>AND(Gagnasett!J9,"AAAAAEOu+Wo=")</f>
        <v>#VALUE!</v>
      </c>
      <c r="DD1" t="e">
        <f>AND(Gagnasett!K9,"AAAAAEOu+Ws=")</f>
        <v>#VALUE!</v>
      </c>
      <c r="DE1">
        <f>IF(Gagnasett!10:10,"AAAAAEOu+Ww=",0)</f>
        <v>0</v>
      </c>
      <c r="DF1" t="e">
        <f>AND(Gagnasett!A10,"AAAAAEOu+W0=")</f>
        <v>#VALUE!</v>
      </c>
      <c r="DG1" t="e">
        <f>AND(Gagnasett!B10,"AAAAAEOu+W4=")</f>
        <v>#VALUE!</v>
      </c>
      <c r="DH1" t="e">
        <f>AND(Gagnasett!C10,"AAAAAEOu+W8=")</f>
        <v>#VALUE!</v>
      </c>
      <c r="DI1" t="e">
        <f>AND(Gagnasett!D10,"AAAAAEOu+XA=")</f>
        <v>#VALUE!</v>
      </c>
      <c r="DJ1" t="e">
        <f>AND(Gagnasett!E10,"AAAAAEOu+XE=")</f>
        <v>#VALUE!</v>
      </c>
      <c r="DK1" t="e">
        <f>AND(Gagnasett!F10,"AAAAAEOu+XI=")</f>
        <v>#VALUE!</v>
      </c>
      <c r="DL1" t="e">
        <f>AND(Gagnasett!G10,"AAAAAEOu+XM=")</f>
        <v>#VALUE!</v>
      </c>
      <c r="DM1" t="e">
        <f>AND(Gagnasett!H10,"AAAAAEOu+XQ=")</f>
        <v>#VALUE!</v>
      </c>
      <c r="DN1" t="e">
        <f>AND(Gagnasett!I10,"AAAAAEOu+XU=")</f>
        <v>#VALUE!</v>
      </c>
      <c r="DO1" t="e">
        <f>AND(Gagnasett!J10,"AAAAAEOu+XY=")</f>
        <v>#VALUE!</v>
      </c>
      <c r="DP1" t="e">
        <f>AND(Gagnasett!K10,"AAAAAEOu+Xc=")</f>
        <v>#VALUE!</v>
      </c>
      <c r="DQ1">
        <f>IF(Gagnasett!11:11,"AAAAAEOu+Xg=",0)</f>
        <v>0</v>
      </c>
      <c r="DR1" t="e">
        <f>AND(Gagnasett!A11,"AAAAAEOu+Xk=")</f>
        <v>#VALUE!</v>
      </c>
      <c r="DS1" t="e">
        <f>AND(Gagnasett!B11,"AAAAAEOu+Xo=")</f>
        <v>#VALUE!</v>
      </c>
      <c r="DT1" t="e">
        <f>AND(Gagnasett!C11,"AAAAAEOu+Xs=")</f>
        <v>#VALUE!</v>
      </c>
      <c r="DU1" t="e">
        <f>AND(Gagnasett!D11,"AAAAAEOu+Xw=")</f>
        <v>#VALUE!</v>
      </c>
      <c r="DV1" t="e">
        <f>AND(Gagnasett!E11,"AAAAAEOu+X0=")</f>
        <v>#VALUE!</v>
      </c>
      <c r="DW1" t="e">
        <f>AND(Gagnasett!F11,"AAAAAEOu+X4=")</f>
        <v>#VALUE!</v>
      </c>
      <c r="DX1" t="e">
        <f>AND(Gagnasett!G11,"AAAAAEOu+X8=")</f>
        <v>#VALUE!</v>
      </c>
      <c r="DY1" t="e">
        <f>AND(Gagnasett!H11,"AAAAAEOu+YA=")</f>
        <v>#VALUE!</v>
      </c>
      <c r="DZ1" t="e">
        <f>AND(Gagnasett!I11,"AAAAAEOu+YE=")</f>
        <v>#VALUE!</v>
      </c>
      <c r="EA1" t="e">
        <f>AND(Gagnasett!J11,"AAAAAEOu+YI=")</f>
        <v>#VALUE!</v>
      </c>
      <c r="EB1" t="e">
        <f>AND(Gagnasett!K11,"AAAAAEOu+YM=")</f>
        <v>#VALUE!</v>
      </c>
      <c r="EC1">
        <f>IF(Gagnasett!12:12,"AAAAAEOu+YQ=",0)</f>
        <v>0</v>
      </c>
      <c r="ED1" t="e">
        <f>AND(Gagnasett!A12,"AAAAAEOu+YU=")</f>
        <v>#VALUE!</v>
      </c>
      <c r="EE1" t="e">
        <f>AND(Gagnasett!B12,"AAAAAEOu+YY=")</f>
        <v>#VALUE!</v>
      </c>
      <c r="EF1" t="e">
        <f>AND(Gagnasett!C12,"AAAAAEOu+Yc=")</f>
        <v>#VALUE!</v>
      </c>
      <c r="EG1" t="e">
        <f>AND(Gagnasett!D12,"AAAAAEOu+Yg=")</f>
        <v>#VALUE!</v>
      </c>
      <c r="EH1" t="e">
        <f>AND(Gagnasett!E12,"AAAAAEOu+Yk=")</f>
        <v>#VALUE!</v>
      </c>
      <c r="EI1" t="e">
        <f>AND(Gagnasett!F12,"AAAAAEOu+Yo=")</f>
        <v>#VALUE!</v>
      </c>
      <c r="EJ1" t="e">
        <f>AND(Gagnasett!G12,"AAAAAEOu+Ys=")</f>
        <v>#VALUE!</v>
      </c>
      <c r="EK1" t="e">
        <f>AND(Gagnasett!H12,"AAAAAEOu+Yw=")</f>
        <v>#VALUE!</v>
      </c>
      <c r="EL1" t="e">
        <f>AND(Gagnasett!I12,"AAAAAEOu+Y0=")</f>
        <v>#VALUE!</v>
      </c>
      <c r="EM1" t="e">
        <f>AND(Gagnasett!J12,"AAAAAEOu+Y4=")</f>
        <v>#VALUE!</v>
      </c>
      <c r="EN1" t="e">
        <f>AND(Gagnasett!K12,"AAAAAEOu+Y8=")</f>
        <v>#VALUE!</v>
      </c>
      <c r="EO1">
        <f>IF(Gagnasett!13:13,"AAAAAEOu+ZA=",0)</f>
        <v>0</v>
      </c>
      <c r="EP1" t="e">
        <f>AND(Gagnasett!A13,"AAAAAEOu+ZE=")</f>
        <v>#VALUE!</v>
      </c>
      <c r="EQ1" t="e">
        <f>AND(Gagnasett!B13,"AAAAAEOu+ZI=")</f>
        <v>#VALUE!</v>
      </c>
      <c r="ER1" t="e">
        <f>AND(Gagnasett!C13,"AAAAAEOu+ZM=")</f>
        <v>#VALUE!</v>
      </c>
      <c r="ES1" t="e">
        <f>AND(Gagnasett!D13,"AAAAAEOu+ZQ=")</f>
        <v>#VALUE!</v>
      </c>
      <c r="ET1" t="e">
        <f>AND(Gagnasett!E13,"AAAAAEOu+ZU=")</f>
        <v>#VALUE!</v>
      </c>
      <c r="EU1" t="e">
        <f>AND(Gagnasett!F13,"AAAAAEOu+ZY=")</f>
        <v>#VALUE!</v>
      </c>
      <c r="EV1" t="e">
        <f>AND(Gagnasett!G13,"AAAAAEOu+Zc=")</f>
        <v>#VALUE!</v>
      </c>
      <c r="EW1" t="e">
        <f>AND(Gagnasett!H13,"AAAAAEOu+Zg=")</f>
        <v>#VALUE!</v>
      </c>
      <c r="EX1" t="e">
        <f>AND(Gagnasett!I13,"AAAAAEOu+Zk=")</f>
        <v>#VALUE!</v>
      </c>
      <c r="EY1" t="e">
        <f>AND(Gagnasett!J13,"AAAAAEOu+Zo=")</f>
        <v>#VALUE!</v>
      </c>
      <c r="EZ1" t="e">
        <f>AND(Gagnasett!K13,"AAAAAEOu+Zs=")</f>
        <v>#VALUE!</v>
      </c>
      <c r="FA1">
        <f>IF(Gagnasett!14:14,"AAAAAEOu+Zw=",0)</f>
        <v>0</v>
      </c>
      <c r="FB1" t="e">
        <f>AND(Gagnasett!A14,"AAAAAEOu+Z0=")</f>
        <v>#VALUE!</v>
      </c>
      <c r="FC1" t="e">
        <f>AND(Gagnasett!B14,"AAAAAEOu+Z4=")</f>
        <v>#VALUE!</v>
      </c>
      <c r="FD1" t="e">
        <f>AND(Gagnasett!C14,"AAAAAEOu+Z8=")</f>
        <v>#VALUE!</v>
      </c>
      <c r="FE1" t="e">
        <f>AND(Gagnasett!D14,"AAAAAEOu+aA=")</f>
        <v>#VALUE!</v>
      </c>
      <c r="FF1" t="e">
        <f>AND(Gagnasett!E14,"AAAAAEOu+aE=")</f>
        <v>#VALUE!</v>
      </c>
      <c r="FG1" t="e">
        <f>AND(Gagnasett!F14,"AAAAAEOu+aI=")</f>
        <v>#VALUE!</v>
      </c>
      <c r="FH1" t="e">
        <f>AND(Gagnasett!G14,"AAAAAEOu+aM=")</f>
        <v>#VALUE!</v>
      </c>
      <c r="FI1" t="e">
        <f>AND(Gagnasett!H14,"AAAAAEOu+aQ=")</f>
        <v>#VALUE!</v>
      </c>
      <c r="FJ1" t="e">
        <f>AND(Gagnasett!I14,"AAAAAEOu+aU=")</f>
        <v>#VALUE!</v>
      </c>
      <c r="FK1" t="e">
        <f>AND(Gagnasett!J14,"AAAAAEOu+aY=")</f>
        <v>#VALUE!</v>
      </c>
      <c r="FL1" t="e">
        <f>AND(Gagnasett!K14,"AAAAAEOu+ac=")</f>
        <v>#VALUE!</v>
      </c>
      <c r="FM1">
        <f>IF(Gagnasett!15:15,"AAAAAEOu+ag=",0)</f>
        <v>0</v>
      </c>
      <c r="FN1" t="e">
        <f>AND(Gagnasett!A15,"AAAAAEOu+ak=")</f>
        <v>#VALUE!</v>
      </c>
      <c r="FO1" t="e">
        <f>AND(Gagnasett!B15,"AAAAAEOu+ao=")</f>
        <v>#VALUE!</v>
      </c>
      <c r="FP1" t="e">
        <f>AND(Gagnasett!C15,"AAAAAEOu+as=")</f>
        <v>#VALUE!</v>
      </c>
      <c r="FQ1" t="e">
        <f>AND(Gagnasett!D15,"AAAAAEOu+aw=")</f>
        <v>#VALUE!</v>
      </c>
      <c r="FR1" t="e">
        <f>AND(Gagnasett!E15,"AAAAAEOu+a0=")</f>
        <v>#VALUE!</v>
      </c>
      <c r="FS1" t="e">
        <f>AND(Gagnasett!F15,"AAAAAEOu+a4=")</f>
        <v>#VALUE!</v>
      </c>
      <c r="FT1" t="e">
        <f>AND(Gagnasett!G15,"AAAAAEOu+a8=")</f>
        <v>#VALUE!</v>
      </c>
      <c r="FU1" t="e">
        <f>AND(Gagnasett!H15,"AAAAAEOu+bA=")</f>
        <v>#VALUE!</v>
      </c>
      <c r="FV1" t="e">
        <f>AND(Gagnasett!I15,"AAAAAEOu+bE=")</f>
        <v>#VALUE!</v>
      </c>
      <c r="FW1" t="e">
        <f>AND(Gagnasett!J15,"AAAAAEOu+bI=")</f>
        <v>#VALUE!</v>
      </c>
      <c r="FX1" t="e">
        <f>AND(Gagnasett!K15,"AAAAAEOu+bM=")</f>
        <v>#VALUE!</v>
      </c>
      <c r="FY1">
        <f>IF(Gagnasett!16:16,"AAAAAEOu+bQ=",0)</f>
        <v>0</v>
      </c>
      <c r="FZ1" t="e">
        <f>AND(Gagnasett!A16,"AAAAAEOu+bU=")</f>
        <v>#VALUE!</v>
      </c>
      <c r="GA1" t="e">
        <f>AND(Gagnasett!B16,"AAAAAEOu+bY=")</f>
        <v>#VALUE!</v>
      </c>
      <c r="GB1" t="e">
        <f>AND(Gagnasett!C16,"AAAAAEOu+bc=")</f>
        <v>#VALUE!</v>
      </c>
      <c r="GC1" t="e">
        <f>AND(Gagnasett!D16,"AAAAAEOu+bg=")</f>
        <v>#VALUE!</v>
      </c>
      <c r="GD1" t="e">
        <f>AND(Gagnasett!E16,"AAAAAEOu+bk=")</f>
        <v>#VALUE!</v>
      </c>
      <c r="GE1" t="e">
        <f>AND(Gagnasett!F16,"AAAAAEOu+bo=")</f>
        <v>#VALUE!</v>
      </c>
      <c r="GF1" t="e">
        <f>AND(Gagnasett!G16,"AAAAAEOu+bs=")</f>
        <v>#VALUE!</v>
      </c>
      <c r="GG1" t="e">
        <f>AND(Gagnasett!H16,"AAAAAEOu+bw=")</f>
        <v>#VALUE!</v>
      </c>
      <c r="GH1" t="e">
        <f>AND(Gagnasett!I16,"AAAAAEOu+b0=")</f>
        <v>#VALUE!</v>
      </c>
      <c r="GI1" t="e">
        <f>AND(Gagnasett!J16,"AAAAAEOu+b4=")</f>
        <v>#VALUE!</v>
      </c>
      <c r="GJ1" t="e">
        <f>AND(Gagnasett!K16,"AAAAAEOu+b8=")</f>
        <v>#VALUE!</v>
      </c>
      <c r="GK1">
        <f>IF(Gagnasett!17:17,"AAAAAEOu+cA=",0)</f>
        <v>0</v>
      </c>
      <c r="GL1" t="e">
        <f>AND(Gagnasett!A17,"AAAAAEOu+cE=")</f>
        <v>#VALUE!</v>
      </c>
      <c r="GM1" t="e">
        <f>AND(Gagnasett!B17,"AAAAAEOu+cI=")</f>
        <v>#VALUE!</v>
      </c>
      <c r="GN1" t="e">
        <f>AND(Gagnasett!C17,"AAAAAEOu+cM=")</f>
        <v>#VALUE!</v>
      </c>
      <c r="GO1" t="e">
        <f>AND(Gagnasett!D17,"AAAAAEOu+cQ=")</f>
        <v>#VALUE!</v>
      </c>
      <c r="GP1" t="e">
        <f>AND(Gagnasett!E17,"AAAAAEOu+cU=")</f>
        <v>#VALUE!</v>
      </c>
      <c r="GQ1" t="e">
        <f>AND(Gagnasett!F17,"AAAAAEOu+cY=")</f>
        <v>#VALUE!</v>
      </c>
      <c r="GR1" t="e">
        <f>AND(Gagnasett!G17,"AAAAAEOu+cc=")</f>
        <v>#VALUE!</v>
      </c>
      <c r="GS1" t="e">
        <f>AND(Gagnasett!H17,"AAAAAEOu+cg=")</f>
        <v>#VALUE!</v>
      </c>
      <c r="GT1" t="e">
        <f>AND(Gagnasett!I17,"AAAAAEOu+ck=")</f>
        <v>#VALUE!</v>
      </c>
      <c r="GU1" t="e">
        <f>AND(Gagnasett!J17,"AAAAAEOu+co=")</f>
        <v>#VALUE!</v>
      </c>
      <c r="GV1" t="e">
        <f>AND(Gagnasett!K17,"AAAAAEOu+cs=")</f>
        <v>#VALUE!</v>
      </c>
      <c r="GW1">
        <f>IF(Gagnasett!18:18,"AAAAAEOu+cw=",0)</f>
        <v>0</v>
      </c>
      <c r="GX1" t="e">
        <f>AND(Gagnasett!A18,"AAAAAEOu+c0=")</f>
        <v>#VALUE!</v>
      </c>
      <c r="GY1" t="e">
        <f>AND(Gagnasett!B18,"AAAAAEOu+c4=")</f>
        <v>#VALUE!</v>
      </c>
      <c r="GZ1" t="e">
        <f>AND(Gagnasett!C18,"AAAAAEOu+c8=")</f>
        <v>#VALUE!</v>
      </c>
      <c r="HA1" t="e">
        <f>AND(Gagnasett!D18,"AAAAAEOu+dA=")</f>
        <v>#VALUE!</v>
      </c>
      <c r="HB1" t="e">
        <f>AND(Gagnasett!E18,"AAAAAEOu+dE=")</f>
        <v>#VALUE!</v>
      </c>
      <c r="HC1" t="e">
        <f>AND(Gagnasett!F18,"AAAAAEOu+dI=")</f>
        <v>#VALUE!</v>
      </c>
      <c r="HD1" t="e">
        <f>AND(Gagnasett!G18,"AAAAAEOu+dM=")</f>
        <v>#VALUE!</v>
      </c>
      <c r="HE1" t="e">
        <f>AND(Gagnasett!H18,"AAAAAEOu+dQ=")</f>
        <v>#VALUE!</v>
      </c>
      <c r="HF1" t="e">
        <f>AND(Gagnasett!I18,"AAAAAEOu+dU=")</f>
        <v>#VALUE!</v>
      </c>
      <c r="HG1" t="e">
        <f>AND(Gagnasett!J18,"AAAAAEOu+dY=")</f>
        <v>#VALUE!</v>
      </c>
      <c r="HH1" t="e">
        <f>AND(Gagnasett!K18,"AAAAAEOu+dc=")</f>
        <v>#VALUE!</v>
      </c>
      <c r="HI1">
        <f>IF(Gagnasett!19:19,"AAAAAEOu+dg=",0)</f>
        <v>0</v>
      </c>
      <c r="HJ1" t="e">
        <f>AND(Gagnasett!A19,"AAAAAEOu+dk=")</f>
        <v>#VALUE!</v>
      </c>
      <c r="HK1" t="e">
        <f>AND(Gagnasett!B19,"AAAAAEOu+do=")</f>
        <v>#VALUE!</v>
      </c>
      <c r="HL1" t="e">
        <f>AND(Gagnasett!C19,"AAAAAEOu+ds=")</f>
        <v>#VALUE!</v>
      </c>
      <c r="HM1" t="e">
        <f>AND(Gagnasett!D19,"AAAAAEOu+dw=")</f>
        <v>#VALUE!</v>
      </c>
      <c r="HN1" t="e">
        <f>AND(Gagnasett!E19,"AAAAAEOu+d0=")</f>
        <v>#VALUE!</v>
      </c>
      <c r="HO1" t="e">
        <f>AND(Gagnasett!F19,"AAAAAEOu+d4=")</f>
        <v>#VALUE!</v>
      </c>
      <c r="HP1" t="e">
        <f>AND(Gagnasett!G19,"AAAAAEOu+d8=")</f>
        <v>#VALUE!</v>
      </c>
      <c r="HQ1" t="e">
        <f>AND(Gagnasett!H19,"AAAAAEOu+eA=")</f>
        <v>#VALUE!</v>
      </c>
      <c r="HR1" t="e">
        <f>AND(Gagnasett!I19,"AAAAAEOu+eE=")</f>
        <v>#VALUE!</v>
      </c>
      <c r="HS1" t="e">
        <f>AND(Gagnasett!J19,"AAAAAEOu+eI=")</f>
        <v>#VALUE!</v>
      </c>
      <c r="HT1" t="e">
        <f>AND(Gagnasett!K19,"AAAAAEOu+eM=")</f>
        <v>#VALUE!</v>
      </c>
      <c r="HU1">
        <f>IF(Gagnasett!20:20,"AAAAAEOu+eQ=",0)</f>
        <v>0</v>
      </c>
      <c r="HV1" t="e">
        <f>AND(Gagnasett!A20,"AAAAAEOu+eU=")</f>
        <v>#VALUE!</v>
      </c>
      <c r="HW1" t="e">
        <f>AND(Gagnasett!B20,"AAAAAEOu+eY=")</f>
        <v>#VALUE!</v>
      </c>
      <c r="HX1" t="e">
        <f>AND(Gagnasett!C20,"AAAAAEOu+ec=")</f>
        <v>#VALUE!</v>
      </c>
      <c r="HY1" t="e">
        <f>AND(Gagnasett!D20,"AAAAAEOu+eg=")</f>
        <v>#VALUE!</v>
      </c>
      <c r="HZ1" t="e">
        <f>AND(Gagnasett!E20,"AAAAAEOu+ek=")</f>
        <v>#VALUE!</v>
      </c>
      <c r="IA1" t="e">
        <f>AND(Gagnasett!F20,"AAAAAEOu+eo=")</f>
        <v>#VALUE!</v>
      </c>
      <c r="IB1" t="e">
        <f>AND(Gagnasett!G20,"AAAAAEOu+es=")</f>
        <v>#VALUE!</v>
      </c>
      <c r="IC1" t="e">
        <f>AND(Gagnasett!H20,"AAAAAEOu+ew=")</f>
        <v>#VALUE!</v>
      </c>
      <c r="ID1" t="e">
        <f>AND(Gagnasett!I20,"AAAAAEOu+e0=")</f>
        <v>#VALUE!</v>
      </c>
      <c r="IE1" t="e">
        <f>AND(Gagnasett!J20,"AAAAAEOu+e4=")</f>
        <v>#VALUE!</v>
      </c>
      <c r="IF1" t="e">
        <f>AND(Gagnasett!K20,"AAAAAEOu+e8=")</f>
        <v>#VALUE!</v>
      </c>
      <c r="IG1">
        <f>IF(Gagnasett!21:21,"AAAAAEOu+fA=",0)</f>
        <v>0</v>
      </c>
      <c r="IH1" t="e">
        <f>AND(Gagnasett!A21,"AAAAAEOu+fE=")</f>
        <v>#VALUE!</v>
      </c>
      <c r="II1" t="e">
        <f>AND(Gagnasett!B21,"AAAAAEOu+fI=")</f>
        <v>#VALUE!</v>
      </c>
      <c r="IJ1" t="e">
        <f>AND(Gagnasett!C21,"AAAAAEOu+fM=")</f>
        <v>#VALUE!</v>
      </c>
      <c r="IK1" t="e">
        <f>AND(Gagnasett!D21,"AAAAAEOu+fQ=")</f>
        <v>#VALUE!</v>
      </c>
      <c r="IL1" t="e">
        <f>AND(Gagnasett!E21,"AAAAAEOu+fU=")</f>
        <v>#VALUE!</v>
      </c>
      <c r="IM1" t="e">
        <f>AND(Gagnasett!F21,"AAAAAEOu+fY=")</f>
        <v>#VALUE!</v>
      </c>
      <c r="IN1" t="e">
        <f>AND(Gagnasett!G21,"AAAAAEOu+fc=")</f>
        <v>#VALUE!</v>
      </c>
      <c r="IO1" t="e">
        <f>AND(Gagnasett!H21,"AAAAAEOu+fg=")</f>
        <v>#VALUE!</v>
      </c>
      <c r="IP1" t="e">
        <f>AND(Gagnasett!I21,"AAAAAEOu+fk=")</f>
        <v>#VALUE!</v>
      </c>
      <c r="IQ1" t="e">
        <f>AND(Gagnasett!J21,"AAAAAEOu+fo=")</f>
        <v>#VALUE!</v>
      </c>
      <c r="IR1" t="e">
        <f>AND(Gagnasett!K21,"AAAAAEOu+fs=")</f>
        <v>#VALUE!</v>
      </c>
      <c r="IS1">
        <f>IF(Gagnasett!22:22,"AAAAAEOu+fw=",0)</f>
        <v>0</v>
      </c>
      <c r="IT1" t="e">
        <f>AND(Gagnasett!A22,"AAAAAEOu+f0=")</f>
        <v>#VALUE!</v>
      </c>
      <c r="IU1" t="e">
        <f>AND(Gagnasett!B22,"AAAAAEOu+f4=")</f>
        <v>#VALUE!</v>
      </c>
      <c r="IV1" t="e">
        <f>AND(Gagnasett!C22,"AAAAAEOu+f8=")</f>
        <v>#VALUE!</v>
      </c>
    </row>
    <row r="2" spans="1:256" x14ac:dyDescent="0.3">
      <c r="A2" t="e">
        <f>AND(Gagnasett!D22,"AAAAADc/2wA=")</f>
        <v>#VALUE!</v>
      </c>
      <c r="B2" t="e">
        <f>AND(Gagnasett!E22,"AAAAADc/2wE=")</f>
        <v>#VALUE!</v>
      </c>
      <c r="C2" t="e">
        <f>AND(Gagnasett!F22,"AAAAADc/2wI=")</f>
        <v>#VALUE!</v>
      </c>
      <c r="D2" t="e">
        <f>AND(Gagnasett!G22,"AAAAADc/2wM=")</f>
        <v>#VALUE!</v>
      </c>
      <c r="E2" t="e">
        <f>AND(Gagnasett!H22,"AAAAADc/2wQ=")</f>
        <v>#VALUE!</v>
      </c>
      <c r="F2" t="e">
        <f>AND(Gagnasett!I22,"AAAAADc/2wU=")</f>
        <v>#VALUE!</v>
      </c>
      <c r="G2" t="e">
        <f>AND(Gagnasett!J22,"AAAAADc/2wY=")</f>
        <v>#VALUE!</v>
      </c>
      <c r="H2" t="e">
        <f>AND(Gagnasett!K22,"AAAAADc/2wc=")</f>
        <v>#VALUE!</v>
      </c>
      <c r="I2" t="e">
        <f>IF(Gagnasett!23:23,"AAAAADc/2wg=",0)</f>
        <v>#VALUE!</v>
      </c>
      <c r="J2" t="e">
        <f>AND(Gagnasett!A23,"AAAAADc/2wk=")</f>
        <v>#VALUE!</v>
      </c>
      <c r="K2" t="e">
        <f>AND(Gagnasett!B23,"AAAAADc/2wo=")</f>
        <v>#VALUE!</v>
      </c>
      <c r="L2" t="e">
        <f>AND(Gagnasett!C23,"AAAAADc/2ws=")</f>
        <v>#VALUE!</v>
      </c>
      <c r="M2" t="e">
        <f>AND(Gagnasett!D23,"AAAAADc/2ww=")</f>
        <v>#VALUE!</v>
      </c>
      <c r="N2" t="e">
        <f>AND(Gagnasett!E23,"AAAAADc/2w0=")</f>
        <v>#VALUE!</v>
      </c>
      <c r="O2" t="e">
        <f>AND(Gagnasett!F23,"AAAAADc/2w4=")</f>
        <v>#VALUE!</v>
      </c>
      <c r="P2" t="e">
        <f>AND(Gagnasett!G23,"AAAAADc/2w8=")</f>
        <v>#VALUE!</v>
      </c>
      <c r="Q2" t="e">
        <f>AND(Gagnasett!H23,"AAAAADc/2xA=")</f>
        <v>#VALUE!</v>
      </c>
      <c r="R2" t="e">
        <f>AND(Gagnasett!I23,"AAAAADc/2xE=")</f>
        <v>#VALUE!</v>
      </c>
      <c r="S2" t="e">
        <f>AND(Gagnasett!J23,"AAAAADc/2xI=")</f>
        <v>#VALUE!</v>
      </c>
      <c r="T2" t="e">
        <f>AND(Gagnasett!K23,"AAAAADc/2xM=")</f>
        <v>#VALUE!</v>
      </c>
      <c r="U2">
        <f>IF(Gagnasett!24:24,"AAAAADc/2xQ=",0)</f>
        <v>0</v>
      </c>
      <c r="V2" t="e">
        <f>AND(Gagnasett!A24,"AAAAADc/2xU=")</f>
        <v>#VALUE!</v>
      </c>
      <c r="W2" t="e">
        <f>AND(Gagnasett!B24,"AAAAADc/2xY=")</f>
        <v>#VALUE!</v>
      </c>
      <c r="X2" t="e">
        <f>AND(Gagnasett!C24,"AAAAADc/2xc=")</f>
        <v>#VALUE!</v>
      </c>
      <c r="Y2" t="e">
        <f>AND(Gagnasett!D24,"AAAAADc/2xg=")</f>
        <v>#VALUE!</v>
      </c>
      <c r="Z2" t="e">
        <f>AND(Gagnasett!E24,"AAAAADc/2xk=")</f>
        <v>#VALUE!</v>
      </c>
      <c r="AA2" t="e">
        <f>AND(Gagnasett!F24,"AAAAADc/2xo=")</f>
        <v>#VALUE!</v>
      </c>
      <c r="AB2" t="e">
        <f>AND(Gagnasett!G24,"AAAAADc/2xs=")</f>
        <v>#VALUE!</v>
      </c>
      <c r="AC2" t="e">
        <f>AND(Gagnasett!H24,"AAAAADc/2xw=")</f>
        <v>#VALUE!</v>
      </c>
      <c r="AD2" t="e">
        <f>AND(Gagnasett!I24,"AAAAADc/2x0=")</f>
        <v>#VALUE!</v>
      </c>
      <c r="AE2" t="e">
        <f>AND(Gagnasett!J24,"AAAAADc/2x4=")</f>
        <v>#VALUE!</v>
      </c>
      <c r="AF2" t="e">
        <f>AND(Gagnasett!K24,"AAAAADc/2x8=")</f>
        <v>#VALUE!</v>
      </c>
      <c r="AG2">
        <f>IF(Gagnasett!25:25,"AAAAADc/2yA=",0)</f>
        <v>0</v>
      </c>
      <c r="AH2" t="e">
        <f>AND(Gagnasett!A25,"AAAAADc/2yE=")</f>
        <v>#VALUE!</v>
      </c>
      <c r="AI2" t="e">
        <f>AND(Gagnasett!B25,"AAAAADc/2yI=")</f>
        <v>#VALUE!</v>
      </c>
      <c r="AJ2" t="e">
        <f>AND(Gagnasett!C25,"AAAAADc/2yM=")</f>
        <v>#VALUE!</v>
      </c>
      <c r="AK2" t="e">
        <f>AND(Gagnasett!D25,"AAAAADc/2yQ=")</f>
        <v>#VALUE!</v>
      </c>
      <c r="AL2" t="e">
        <f>AND(Gagnasett!E25,"AAAAADc/2yU=")</f>
        <v>#VALUE!</v>
      </c>
      <c r="AM2" t="e">
        <f>AND(Gagnasett!F25,"AAAAADc/2yY=")</f>
        <v>#VALUE!</v>
      </c>
      <c r="AN2" t="e">
        <f>AND(Gagnasett!G25,"AAAAADc/2yc=")</f>
        <v>#VALUE!</v>
      </c>
      <c r="AO2" t="e">
        <f>AND(Gagnasett!H25,"AAAAADc/2yg=")</f>
        <v>#VALUE!</v>
      </c>
      <c r="AP2" t="e">
        <f>AND(Gagnasett!I25,"AAAAADc/2yk=")</f>
        <v>#VALUE!</v>
      </c>
      <c r="AQ2" t="e">
        <f>AND(Gagnasett!J25,"AAAAADc/2yo=")</f>
        <v>#VALUE!</v>
      </c>
      <c r="AR2" t="e">
        <f>AND(Gagnasett!K25,"AAAAADc/2ys=")</f>
        <v>#VALUE!</v>
      </c>
      <c r="AS2">
        <f>IF(Gagnasett!26:26,"AAAAADc/2yw=",0)</f>
        <v>0</v>
      </c>
      <c r="AT2" t="e">
        <f>AND(Gagnasett!A26,"AAAAADc/2y0=")</f>
        <v>#VALUE!</v>
      </c>
      <c r="AU2" t="e">
        <f>AND(Gagnasett!B26,"AAAAADc/2y4=")</f>
        <v>#VALUE!</v>
      </c>
      <c r="AV2" t="e">
        <f>AND(Gagnasett!C26,"AAAAADc/2y8=")</f>
        <v>#VALUE!</v>
      </c>
      <c r="AW2" t="e">
        <f>AND(Gagnasett!D26,"AAAAADc/2zA=")</f>
        <v>#VALUE!</v>
      </c>
      <c r="AX2" t="e">
        <f>AND(Gagnasett!E26,"AAAAADc/2zE=")</f>
        <v>#VALUE!</v>
      </c>
      <c r="AY2" t="e">
        <f>AND(Gagnasett!F26,"AAAAADc/2zI=")</f>
        <v>#VALUE!</v>
      </c>
      <c r="AZ2" t="e">
        <f>AND(Gagnasett!G26,"AAAAADc/2zM=")</f>
        <v>#VALUE!</v>
      </c>
      <c r="BA2" t="e">
        <f>AND(Gagnasett!H26,"AAAAADc/2zQ=")</f>
        <v>#VALUE!</v>
      </c>
      <c r="BB2" t="e">
        <f>AND(Gagnasett!I26,"AAAAADc/2zU=")</f>
        <v>#VALUE!</v>
      </c>
      <c r="BC2" t="e">
        <f>AND(Gagnasett!J26,"AAAAADc/2zY=")</f>
        <v>#VALUE!</v>
      </c>
      <c r="BD2" t="e">
        <f>AND(Gagnasett!K26,"AAAAADc/2zc=")</f>
        <v>#VALUE!</v>
      </c>
      <c r="BE2">
        <f>IF(Gagnasett!27:27,"AAAAADc/2zg=",0)</f>
        <v>0</v>
      </c>
      <c r="BF2" t="e">
        <f>AND(Gagnasett!A27,"AAAAADc/2zk=")</f>
        <v>#VALUE!</v>
      </c>
      <c r="BG2" t="e">
        <f>AND(Gagnasett!B27,"AAAAADc/2zo=")</f>
        <v>#VALUE!</v>
      </c>
      <c r="BH2" t="e">
        <f>AND(Gagnasett!C27,"AAAAADc/2zs=")</f>
        <v>#VALUE!</v>
      </c>
      <c r="BI2" t="e">
        <f>AND(Gagnasett!D27,"AAAAADc/2zw=")</f>
        <v>#VALUE!</v>
      </c>
      <c r="BJ2" t="e">
        <f>AND(Gagnasett!E27,"AAAAADc/2z0=")</f>
        <v>#VALUE!</v>
      </c>
      <c r="BK2" t="e">
        <f>AND(Gagnasett!F27,"AAAAADc/2z4=")</f>
        <v>#VALUE!</v>
      </c>
      <c r="BL2" t="e">
        <f>AND(Gagnasett!G27,"AAAAADc/2z8=")</f>
        <v>#VALUE!</v>
      </c>
      <c r="BM2" t="e">
        <f>AND(Gagnasett!H27,"AAAAADc/20A=")</f>
        <v>#VALUE!</v>
      </c>
      <c r="BN2" t="e">
        <f>AND(Gagnasett!I27,"AAAAADc/20E=")</f>
        <v>#VALUE!</v>
      </c>
      <c r="BO2" t="e">
        <f>AND(Gagnasett!J27,"AAAAADc/20I=")</f>
        <v>#VALUE!</v>
      </c>
      <c r="BP2" t="e">
        <f>AND(Gagnasett!K27,"AAAAADc/20M=")</f>
        <v>#VALUE!</v>
      </c>
      <c r="BQ2">
        <f>IF(Gagnasett!28:28,"AAAAADc/20Q=",0)</f>
        <v>0</v>
      </c>
      <c r="BR2" t="e">
        <f>AND(Gagnasett!A28,"AAAAADc/20U=")</f>
        <v>#VALUE!</v>
      </c>
      <c r="BS2" t="e">
        <f>AND(Gagnasett!B28,"AAAAADc/20Y=")</f>
        <v>#VALUE!</v>
      </c>
      <c r="BT2" t="e">
        <f>AND(Gagnasett!C28,"AAAAADc/20c=")</f>
        <v>#VALUE!</v>
      </c>
      <c r="BU2" t="e">
        <f>AND(Gagnasett!D28,"AAAAADc/20g=")</f>
        <v>#VALUE!</v>
      </c>
      <c r="BV2" t="e">
        <f>AND(Gagnasett!E28,"AAAAADc/20k=")</f>
        <v>#VALUE!</v>
      </c>
      <c r="BW2" t="e">
        <f>AND(Gagnasett!F28,"AAAAADc/20o=")</f>
        <v>#VALUE!</v>
      </c>
      <c r="BX2" t="e">
        <f>AND(Gagnasett!G28,"AAAAADc/20s=")</f>
        <v>#VALUE!</v>
      </c>
      <c r="BY2" t="e">
        <f>AND(Gagnasett!H28,"AAAAADc/20w=")</f>
        <v>#VALUE!</v>
      </c>
      <c r="BZ2" t="e">
        <f>AND(Gagnasett!I28,"AAAAADc/200=")</f>
        <v>#VALUE!</v>
      </c>
      <c r="CA2" t="e">
        <f>AND(Gagnasett!J28,"AAAAADc/204=")</f>
        <v>#VALUE!</v>
      </c>
      <c r="CB2" t="e">
        <f>AND(Gagnasett!K28,"AAAAADc/208=")</f>
        <v>#VALUE!</v>
      </c>
      <c r="CC2">
        <f>IF(Gagnasett!29:29,"AAAAADc/21A=",0)</f>
        <v>0</v>
      </c>
      <c r="CD2" t="e">
        <f>AND(Gagnasett!A29,"AAAAADc/21E=")</f>
        <v>#VALUE!</v>
      </c>
      <c r="CE2" t="e">
        <f>AND(Gagnasett!B29,"AAAAADc/21I=")</f>
        <v>#VALUE!</v>
      </c>
      <c r="CF2" t="e">
        <f>AND(Gagnasett!C29,"AAAAADc/21M=")</f>
        <v>#VALUE!</v>
      </c>
      <c r="CG2" t="e">
        <f>AND(Gagnasett!D29,"AAAAADc/21Q=")</f>
        <v>#VALUE!</v>
      </c>
      <c r="CH2" t="e">
        <f>AND(Gagnasett!E29,"AAAAADc/21U=")</f>
        <v>#VALUE!</v>
      </c>
      <c r="CI2" t="e">
        <f>AND(Gagnasett!F29,"AAAAADc/21Y=")</f>
        <v>#VALUE!</v>
      </c>
      <c r="CJ2" t="e">
        <f>AND(Gagnasett!G29,"AAAAADc/21c=")</f>
        <v>#VALUE!</v>
      </c>
      <c r="CK2" t="e">
        <f>AND(Gagnasett!H29,"AAAAADc/21g=")</f>
        <v>#VALUE!</v>
      </c>
      <c r="CL2" t="e">
        <f>AND(Gagnasett!I29,"AAAAADc/21k=")</f>
        <v>#VALUE!</v>
      </c>
      <c r="CM2" t="e">
        <f>AND(Gagnasett!J29,"AAAAADc/21o=")</f>
        <v>#VALUE!</v>
      </c>
      <c r="CN2" t="e">
        <f>AND(Gagnasett!K29,"AAAAADc/21s=")</f>
        <v>#VALUE!</v>
      </c>
      <c r="CO2">
        <f>IF(Gagnasett!30:30,"AAAAADc/21w=",0)</f>
        <v>0</v>
      </c>
      <c r="CP2" t="e">
        <f>AND(Gagnasett!A30,"AAAAADc/210=")</f>
        <v>#VALUE!</v>
      </c>
      <c r="CQ2" t="e">
        <f>AND(Gagnasett!B30,"AAAAADc/214=")</f>
        <v>#VALUE!</v>
      </c>
      <c r="CR2" t="e">
        <f>AND(Gagnasett!C30,"AAAAADc/218=")</f>
        <v>#VALUE!</v>
      </c>
      <c r="CS2" t="e">
        <f>AND(Gagnasett!D30,"AAAAADc/22A=")</f>
        <v>#VALUE!</v>
      </c>
      <c r="CT2" t="e">
        <f>AND(Gagnasett!E30,"AAAAADc/22E=")</f>
        <v>#VALUE!</v>
      </c>
      <c r="CU2" t="e">
        <f>AND(Gagnasett!F30,"AAAAADc/22I=")</f>
        <v>#VALUE!</v>
      </c>
      <c r="CV2" t="e">
        <f>AND(Gagnasett!G30,"AAAAADc/22M=")</f>
        <v>#VALUE!</v>
      </c>
      <c r="CW2" t="e">
        <f>AND(Gagnasett!H30,"AAAAADc/22Q=")</f>
        <v>#VALUE!</v>
      </c>
      <c r="CX2" t="e">
        <f>AND(Gagnasett!I30,"AAAAADc/22U=")</f>
        <v>#VALUE!</v>
      </c>
      <c r="CY2" t="e">
        <f>AND(Gagnasett!J30,"AAAAADc/22Y=")</f>
        <v>#VALUE!</v>
      </c>
      <c r="CZ2" t="e">
        <f>AND(Gagnasett!K30,"AAAAADc/22c=")</f>
        <v>#VALUE!</v>
      </c>
      <c r="DA2">
        <f>IF(Gagnasett!31:31,"AAAAADc/22g=",0)</f>
        <v>0</v>
      </c>
      <c r="DB2" t="e">
        <f>AND(Gagnasett!A31,"AAAAADc/22k=")</f>
        <v>#VALUE!</v>
      </c>
      <c r="DC2" t="e">
        <f>AND(Gagnasett!B31,"AAAAADc/22o=")</f>
        <v>#VALUE!</v>
      </c>
      <c r="DD2" t="e">
        <f>AND(Gagnasett!C31,"AAAAADc/22s=")</f>
        <v>#VALUE!</v>
      </c>
      <c r="DE2" t="e">
        <f>AND(Gagnasett!D31,"AAAAADc/22w=")</f>
        <v>#VALUE!</v>
      </c>
      <c r="DF2" t="e">
        <f>AND(Gagnasett!E31,"AAAAADc/220=")</f>
        <v>#VALUE!</v>
      </c>
      <c r="DG2" t="e">
        <f>AND(Gagnasett!F31,"AAAAADc/224=")</f>
        <v>#VALUE!</v>
      </c>
      <c r="DH2" t="e">
        <f>AND(Gagnasett!G31,"AAAAADc/228=")</f>
        <v>#VALUE!</v>
      </c>
      <c r="DI2" t="e">
        <f>AND(Gagnasett!H31,"AAAAADc/23A=")</f>
        <v>#VALUE!</v>
      </c>
      <c r="DJ2" t="e">
        <f>AND(Gagnasett!I31,"AAAAADc/23E=")</f>
        <v>#VALUE!</v>
      </c>
      <c r="DK2" t="e">
        <f>AND(Gagnasett!J31,"AAAAADc/23I=")</f>
        <v>#VALUE!</v>
      </c>
      <c r="DL2" t="e">
        <f>AND(Gagnasett!K31,"AAAAADc/23M=")</f>
        <v>#VALUE!</v>
      </c>
      <c r="DM2">
        <f>IF(Gagnasett!32:32,"AAAAADc/23Q=",0)</f>
        <v>0</v>
      </c>
      <c r="DN2" t="e">
        <f>AND(Gagnasett!A32,"AAAAADc/23U=")</f>
        <v>#VALUE!</v>
      </c>
      <c r="DO2" t="e">
        <f>AND(Gagnasett!B32,"AAAAADc/23Y=")</f>
        <v>#VALUE!</v>
      </c>
      <c r="DP2" t="e">
        <f>AND(Gagnasett!C32,"AAAAADc/23c=")</f>
        <v>#VALUE!</v>
      </c>
      <c r="DQ2" t="e">
        <f>AND(Gagnasett!D32,"AAAAADc/23g=")</f>
        <v>#VALUE!</v>
      </c>
      <c r="DR2" t="e">
        <f>AND(Gagnasett!E32,"AAAAADc/23k=")</f>
        <v>#VALUE!</v>
      </c>
      <c r="DS2" t="e">
        <f>AND(Gagnasett!F32,"AAAAADc/23o=")</f>
        <v>#VALUE!</v>
      </c>
      <c r="DT2" t="e">
        <f>AND(Gagnasett!G32,"AAAAADc/23s=")</f>
        <v>#VALUE!</v>
      </c>
      <c r="DU2" t="e">
        <f>AND(Gagnasett!H32,"AAAAADc/23w=")</f>
        <v>#VALUE!</v>
      </c>
      <c r="DV2" t="e">
        <f>AND(Gagnasett!I32,"AAAAADc/230=")</f>
        <v>#VALUE!</v>
      </c>
      <c r="DW2" t="e">
        <f>AND(Gagnasett!J32,"AAAAADc/234=")</f>
        <v>#VALUE!</v>
      </c>
      <c r="DX2" t="e">
        <f>AND(Gagnasett!K32,"AAAAADc/238=")</f>
        <v>#VALUE!</v>
      </c>
      <c r="DY2">
        <f>IF(Gagnasett!33:33,"AAAAADc/24A=",0)</f>
        <v>0</v>
      </c>
      <c r="DZ2" t="e">
        <f>AND(Gagnasett!A33,"AAAAADc/24E=")</f>
        <v>#VALUE!</v>
      </c>
      <c r="EA2" t="e">
        <f>AND(Gagnasett!B33,"AAAAADc/24I=")</f>
        <v>#VALUE!</v>
      </c>
      <c r="EB2" t="e">
        <f>AND(Gagnasett!C33,"AAAAADc/24M=")</f>
        <v>#VALUE!</v>
      </c>
      <c r="EC2" t="e">
        <f>AND(Gagnasett!D33,"AAAAADc/24Q=")</f>
        <v>#VALUE!</v>
      </c>
      <c r="ED2" t="e">
        <f>AND(Gagnasett!E33,"AAAAADc/24U=")</f>
        <v>#VALUE!</v>
      </c>
      <c r="EE2" t="e">
        <f>AND(Gagnasett!F33,"AAAAADc/24Y=")</f>
        <v>#VALUE!</v>
      </c>
      <c r="EF2" t="e">
        <f>AND(Gagnasett!G33,"AAAAADc/24c=")</f>
        <v>#VALUE!</v>
      </c>
      <c r="EG2" t="e">
        <f>AND(Gagnasett!H33,"AAAAADc/24g=")</f>
        <v>#VALUE!</v>
      </c>
      <c r="EH2" t="e">
        <f>AND(Gagnasett!I33,"AAAAADc/24k=")</f>
        <v>#VALUE!</v>
      </c>
      <c r="EI2" t="e">
        <f>AND(Gagnasett!J33,"AAAAADc/24o=")</f>
        <v>#VALUE!</v>
      </c>
      <c r="EJ2" t="e">
        <f>AND(Gagnasett!K33,"AAAAADc/24s=")</f>
        <v>#VALUE!</v>
      </c>
      <c r="EK2">
        <f>IF(Gagnasett!34:34,"AAAAADc/24w=",0)</f>
        <v>0</v>
      </c>
      <c r="EL2" t="e">
        <f>AND(Gagnasett!A34,"AAAAADc/240=")</f>
        <v>#VALUE!</v>
      </c>
      <c r="EM2" t="e">
        <f>AND(Gagnasett!B34,"AAAAADc/244=")</f>
        <v>#VALUE!</v>
      </c>
      <c r="EN2" t="e">
        <f>AND(Gagnasett!C34,"AAAAADc/248=")</f>
        <v>#VALUE!</v>
      </c>
      <c r="EO2" t="e">
        <f>AND(Gagnasett!D34,"AAAAADc/25A=")</f>
        <v>#VALUE!</v>
      </c>
      <c r="EP2" t="e">
        <f>AND(Gagnasett!E34,"AAAAADc/25E=")</f>
        <v>#VALUE!</v>
      </c>
      <c r="EQ2" t="e">
        <f>AND(Gagnasett!F34,"AAAAADc/25I=")</f>
        <v>#VALUE!</v>
      </c>
      <c r="ER2" t="e">
        <f>AND(Gagnasett!G34,"AAAAADc/25M=")</f>
        <v>#VALUE!</v>
      </c>
      <c r="ES2" t="e">
        <f>AND(Gagnasett!H34,"AAAAADc/25Q=")</f>
        <v>#VALUE!</v>
      </c>
      <c r="ET2" t="e">
        <f>AND(Gagnasett!I34,"AAAAADc/25U=")</f>
        <v>#VALUE!</v>
      </c>
      <c r="EU2" t="e">
        <f>AND(Gagnasett!J34,"AAAAADc/25Y=")</f>
        <v>#VALUE!</v>
      </c>
      <c r="EV2" t="e">
        <f>AND(Gagnasett!K34,"AAAAADc/25c=")</f>
        <v>#VALUE!</v>
      </c>
      <c r="EW2">
        <f>IF(Gagnasett!35:35,"AAAAADc/25g=",0)</f>
        <v>0</v>
      </c>
      <c r="EX2" t="e">
        <f>AND(Gagnasett!A35,"AAAAADc/25k=")</f>
        <v>#VALUE!</v>
      </c>
      <c r="EY2" t="e">
        <f>AND(Gagnasett!B35,"AAAAADc/25o=")</f>
        <v>#VALUE!</v>
      </c>
      <c r="EZ2" t="e">
        <f>AND(Gagnasett!C35,"AAAAADc/25s=")</f>
        <v>#VALUE!</v>
      </c>
      <c r="FA2" t="e">
        <f>AND(Gagnasett!D35,"AAAAADc/25w=")</f>
        <v>#VALUE!</v>
      </c>
      <c r="FB2" t="e">
        <f>AND(Gagnasett!E35,"AAAAADc/250=")</f>
        <v>#VALUE!</v>
      </c>
      <c r="FC2" t="e">
        <f>AND(Gagnasett!F35,"AAAAADc/254=")</f>
        <v>#VALUE!</v>
      </c>
      <c r="FD2" t="e">
        <f>AND(Gagnasett!G35,"AAAAADc/258=")</f>
        <v>#VALUE!</v>
      </c>
      <c r="FE2" t="e">
        <f>AND(Gagnasett!H35,"AAAAADc/26A=")</f>
        <v>#VALUE!</v>
      </c>
      <c r="FF2" t="e">
        <f>AND(Gagnasett!I35,"AAAAADc/26E=")</f>
        <v>#VALUE!</v>
      </c>
      <c r="FG2" t="e">
        <f>AND(Gagnasett!J35,"AAAAADc/26I=")</f>
        <v>#VALUE!</v>
      </c>
      <c r="FH2" t="e">
        <f>AND(Gagnasett!K35,"AAAAADc/26M=")</f>
        <v>#VALUE!</v>
      </c>
      <c r="FI2">
        <f>IF(Gagnasett!36:36,"AAAAADc/26Q=",0)</f>
        <v>0</v>
      </c>
      <c r="FJ2" t="e">
        <f>AND(Gagnasett!A36,"AAAAADc/26U=")</f>
        <v>#VALUE!</v>
      </c>
      <c r="FK2" t="e">
        <f>AND(Gagnasett!B36,"AAAAADc/26Y=")</f>
        <v>#VALUE!</v>
      </c>
      <c r="FL2" t="e">
        <f>AND(Gagnasett!C36,"AAAAADc/26c=")</f>
        <v>#VALUE!</v>
      </c>
      <c r="FM2" t="e">
        <f>AND(Gagnasett!D36,"AAAAADc/26g=")</f>
        <v>#VALUE!</v>
      </c>
      <c r="FN2" t="e">
        <f>AND(Gagnasett!E36,"AAAAADc/26k=")</f>
        <v>#VALUE!</v>
      </c>
      <c r="FO2" t="e">
        <f>AND(Gagnasett!F36,"AAAAADc/26o=")</f>
        <v>#VALUE!</v>
      </c>
      <c r="FP2" t="e">
        <f>AND(Gagnasett!G36,"AAAAADc/26s=")</f>
        <v>#VALUE!</v>
      </c>
      <c r="FQ2" t="e">
        <f>AND(Gagnasett!H36,"AAAAADc/26w=")</f>
        <v>#VALUE!</v>
      </c>
      <c r="FR2" t="e">
        <f>AND(Gagnasett!I36,"AAAAADc/260=")</f>
        <v>#VALUE!</v>
      </c>
      <c r="FS2" t="e">
        <f>AND(Gagnasett!J36,"AAAAADc/264=")</f>
        <v>#VALUE!</v>
      </c>
      <c r="FT2" t="e">
        <f>AND(Gagnasett!K36,"AAAAADc/268=")</f>
        <v>#VALUE!</v>
      </c>
      <c r="FU2">
        <f>IF(Gagnasett!37:37,"AAAAADc/27A=",0)</f>
        <v>0</v>
      </c>
      <c r="FV2" t="e">
        <f>AND(Gagnasett!A37,"AAAAADc/27E=")</f>
        <v>#VALUE!</v>
      </c>
      <c r="FW2" t="e">
        <f>AND(Gagnasett!B37,"AAAAADc/27I=")</f>
        <v>#VALUE!</v>
      </c>
      <c r="FX2" t="e">
        <f>AND(Gagnasett!C37,"AAAAADc/27M=")</f>
        <v>#VALUE!</v>
      </c>
      <c r="FY2" t="e">
        <f>AND(Gagnasett!D37,"AAAAADc/27Q=")</f>
        <v>#VALUE!</v>
      </c>
      <c r="FZ2" t="e">
        <f>AND(Gagnasett!E37,"AAAAADc/27U=")</f>
        <v>#VALUE!</v>
      </c>
      <c r="GA2" t="e">
        <f>AND(Gagnasett!F37,"AAAAADc/27Y=")</f>
        <v>#VALUE!</v>
      </c>
      <c r="GB2" t="e">
        <f>AND(Gagnasett!G37,"AAAAADc/27c=")</f>
        <v>#VALUE!</v>
      </c>
      <c r="GC2" t="e">
        <f>AND(Gagnasett!H37,"AAAAADc/27g=")</f>
        <v>#VALUE!</v>
      </c>
      <c r="GD2" t="e">
        <f>AND(Gagnasett!I37,"AAAAADc/27k=")</f>
        <v>#VALUE!</v>
      </c>
      <c r="GE2" t="e">
        <f>AND(Gagnasett!J37,"AAAAADc/27o=")</f>
        <v>#VALUE!</v>
      </c>
      <c r="GF2" t="e">
        <f>AND(Gagnasett!K37,"AAAAADc/27s=")</f>
        <v>#VALUE!</v>
      </c>
      <c r="GG2">
        <f>IF(Gagnasett!38:38,"AAAAADc/27w=",0)</f>
        <v>0</v>
      </c>
      <c r="GH2" t="e">
        <f>AND(Gagnasett!A38,"AAAAADc/270=")</f>
        <v>#VALUE!</v>
      </c>
      <c r="GI2" t="e">
        <f>AND(Gagnasett!B38,"AAAAADc/274=")</f>
        <v>#VALUE!</v>
      </c>
      <c r="GJ2" t="e">
        <f>AND(Gagnasett!C38,"AAAAADc/278=")</f>
        <v>#VALUE!</v>
      </c>
      <c r="GK2" t="e">
        <f>AND(Gagnasett!D38,"AAAAADc/28A=")</f>
        <v>#VALUE!</v>
      </c>
      <c r="GL2" t="e">
        <f>AND(Gagnasett!E38,"AAAAADc/28E=")</f>
        <v>#VALUE!</v>
      </c>
      <c r="GM2" t="e">
        <f>AND(Gagnasett!F38,"AAAAADc/28I=")</f>
        <v>#VALUE!</v>
      </c>
      <c r="GN2" t="e">
        <f>AND(Gagnasett!G38,"AAAAADc/28M=")</f>
        <v>#VALUE!</v>
      </c>
      <c r="GO2" t="e">
        <f>AND(Gagnasett!H38,"AAAAADc/28Q=")</f>
        <v>#VALUE!</v>
      </c>
      <c r="GP2" t="e">
        <f>AND(Gagnasett!I38,"AAAAADc/28U=")</f>
        <v>#VALUE!</v>
      </c>
      <c r="GQ2" t="e">
        <f>AND(Gagnasett!J38,"AAAAADc/28Y=")</f>
        <v>#VALUE!</v>
      </c>
      <c r="GR2" t="e">
        <f>AND(Gagnasett!K38,"AAAAADc/28c=")</f>
        <v>#VALUE!</v>
      </c>
      <c r="GS2">
        <f>IF(Gagnasett!39:39,"AAAAADc/28g=",0)</f>
        <v>0</v>
      </c>
      <c r="GT2" t="e">
        <f>AND(Gagnasett!A39,"AAAAADc/28k=")</f>
        <v>#VALUE!</v>
      </c>
      <c r="GU2" t="e">
        <f>AND(Gagnasett!B39,"AAAAADc/28o=")</f>
        <v>#VALUE!</v>
      </c>
      <c r="GV2" t="e">
        <f>AND(Gagnasett!C39,"AAAAADc/28s=")</f>
        <v>#VALUE!</v>
      </c>
      <c r="GW2" t="e">
        <f>AND(Gagnasett!D39,"AAAAADc/28w=")</f>
        <v>#VALUE!</v>
      </c>
      <c r="GX2" t="e">
        <f>AND(Gagnasett!E39,"AAAAADc/280=")</f>
        <v>#VALUE!</v>
      </c>
      <c r="GY2" t="e">
        <f>AND(Gagnasett!F39,"AAAAADc/284=")</f>
        <v>#VALUE!</v>
      </c>
      <c r="GZ2" t="e">
        <f>AND(Gagnasett!G39,"AAAAADc/288=")</f>
        <v>#VALUE!</v>
      </c>
      <c r="HA2" t="e">
        <f>AND(Gagnasett!H39,"AAAAADc/29A=")</f>
        <v>#VALUE!</v>
      </c>
      <c r="HB2" t="e">
        <f>AND(Gagnasett!I39,"AAAAADc/29E=")</f>
        <v>#VALUE!</v>
      </c>
      <c r="HC2" t="e">
        <f>AND(Gagnasett!J39,"AAAAADc/29I=")</f>
        <v>#VALUE!</v>
      </c>
      <c r="HD2" t="e">
        <f>AND(Gagnasett!K39,"AAAAADc/29M=")</f>
        <v>#VALUE!</v>
      </c>
      <c r="HE2">
        <f>IF(Gagnasett!40:40,"AAAAADc/29Q=",0)</f>
        <v>0</v>
      </c>
      <c r="HF2" t="e">
        <f>AND(Gagnasett!A40,"AAAAADc/29U=")</f>
        <v>#VALUE!</v>
      </c>
      <c r="HG2" t="e">
        <f>AND(Gagnasett!B40,"AAAAADc/29Y=")</f>
        <v>#VALUE!</v>
      </c>
      <c r="HH2" t="e">
        <f>AND(Gagnasett!C40,"AAAAADc/29c=")</f>
        <v>#VALUE!</v>
      </c>
      <c r="HI2" t="e">
        <f>AND(Gagnasett!D40,"AAAAADc/29g=")</f>
        <v>#VALUE!</v>
      </c>
      <c r="HJ2" t="e">
        <f>AND(Gagnasett!E40,"AAAAADc/29k=")</f>
        <v>#VALUE!</v>
      </c>
      <c r="HK2" t="e">
        <f>AND(Gagnasett!F40,"AAAAADc/29o=")</f>
        <v>#VALUE!</v>
      </c>
      <c r="HL2" t="e">
        <f>AND(Gagnasett!G40,"AAAAADc/29s=")</f>
        <v>#VALUE!</v>
      </c>
      <c r="HM2" t="e">
        <f>AND(Gagnasett!H40,"AAAAADc/29w=")</f>
        <v>#VALUE!</v>
      </c>
      <c r="HN2" t="e">
        <f>AND(Gagnasett!I40,"AAAAADc/290=")</f>
        <v>#VALUE!</v>
      </c>
      <c r="HO2" t="e">
        <f>AND(Gagnasett!J40,"AAAAADc/294=")</f>
        <v>#VALUE!</v>
      </c>
      <c r="HP2" t="e">
        <f>AND(Gagnasett!K40,"AAAAADc/298=")</f>
        <v>#VALUE!</v>
      </c>
      <c r="HQ2">
        <f>IF(Gagnasett!41:41,"AAAAADc/2+A=",0)</f>
        <v>0</v>
      </c>
      <c r="HR2" t="e">
        <f>AND(Gagnasett!A41,"AAAAADc/2+E=")</f>
        <v>#VALUE!</v>
      </c>
      <c r="HS2" t="e">
        <f>AND(Gagnasett!B41,"AAAAADc/2+I=")</f>
        <v>#VALUE!</v>
      </c>
      <c r="HT2" t="e">
        <f>AND(Gagnasett!C41,"AAAAADc/2+M=")</f>
        <v>#VALUE!</v>
      </c>
      <c r="HU2" t="e">
        <f>AND(Gagnasett!D41,"AAAAADc/2+Q=")</f>
        <v>#VALUE!</v>
      </c>
      <c r="HV2" t="e">
        <f>AND(Gagnasett!E41,"AAAAADc/2+U=")</f>
        <v>#VALUE!</v>
      </c>
      <c r="HW2" t="e">
        <f>AND(Gagnasett!F41,"AAAAADc/2+Y=")</f>
        <v>#VALUE!</v>
      </c>
      <c r="HX2" t="e">
        <f>AND(Gagnasett!G41,"AAAAADc/2+c=")</f>
        <v>#VALUE!</v>
      </c>
      <c r="HY2" t="e">
        <f>AND(Gagnasett!H41,"AAAAADc/2+g=")</f>
        <v>#VALUE!</v>
      </c>
      <c r="HZ2" t="e">
        <f>AND(Gagnasett!I41,"AAAAADc/2+k=")</f>
        <v>#VALUE!</v>
      </c>
      <c r="IA2" t="e">
        <f>AND(Gagnasett!J41,"AAAAADc/2+o=")</f>
        <v>#VALUE!</v>
      </c>
      <c r="IB2" t="e">
        <f>AND(Gagnasett!K41,"AAAAADc/2+s=")</f>
        <v>#VALUE!</v>
      </c>
      <c r="IC2">
        <f>IF(Gagnasett!42:42,"AAAAADc/2+w=",0)</f>
        <v>0</v>
      </c>
      <c r="ID2" t="e">
        <f>AND(Gagnasett!A42,"AAAAADc/2+0=")</f>
        <v>#VALUE!</v>
      </c>
      <c r="IE2" t="e">
        <f>AND(Gagnasett!B42,"AAAAADc/2+4=")</f>
        <v>#VALUE!</v>
      </c>
      <c r="IF2" t="e">
        <f>AND(Gagnasett!C42,"AAAAADc/2+8=")</f>
        <v>#VALUE!</v>
      </c>
      <c r="IG2" t="e">
        <f>AND(Gagnasett!D42,"AAAAADc/2/A=")</f>
        <v>#VALUE!</v>
      </c>
      <c r="IH2" t="e">
        <f>AND(Gagnasett!E42,"AAAAADc/2/E=")</f>
        <v>#VALUE!</v>
      </c>
      <c r="II2" t="e">
        <f>AND(Gagnasett!F42,"AAAAADc/2/I=")</f>
        <v>#VALUE!</v>
      </c>
      <c r="IJ2" t="e">
        <f>AND(Gagnasett!G42,"AAAAADc/2/M=")</f>
        <v>#VALUE!</v>
      </c>
      <c r="IK2" t="e">
        <f>AND(Gagnasett!H42,"AAAAADc/2/Q=")</f>
        <v>#VALUE!</v>
      </c>
      <c r="IL2" t="e">
        <f>AND(Gagnasett!I42,"AAAAADc/2/U=")</f>
        <v>#VALUE!</v>
      </c>
      <c r="IM2" t="e">
        <f>AND(Gagnasett!J42,"AAAAADc/2/Y=")</f>
        <v>#VALUE!</v>
      </c>
      <c r="IN2" t="e">
        <f>AND(Gagnasett!K42,"AAAAADc/2/c=")</f>
        <v>#VALUE!</v>
      </c>
      <c r="IO2">
        <f>IF(Gagnasett!43:43,"AAAAADc/2/g=",0)</f>
        <v>0</v>
      </c>
      <c r="IP2" t="e">
        <f>AND(Gagnasett!A43,"AAAAADc/2/k=")</f>
        <v>#VALUE!</v>
      </c>
      <c r="IQ2" t="e">
        <f>AND(Gagnasett!B43,"AAAAADc/2/o=")</f>
        <v>#VALUE!</v>
      </c>
      <c r="IR2" t="e">
        <f>AND(Gagnasett!C43,"AAAAADc/2/s=")</f>
        <v>#VALUE!</v>
      </c>
      <c r="IS2" t="e">
        <f>AND(Gagnasett!D43,"AAAAADc/2/w=")</f>
        <v>#VALUE!</v>
      </c>
      <c r="IT2" t="e">
        <f>AND(Gagnasett!E43,"AAAAADc/2/0=")</f>
        <v>#VALUE!</v>
      </c>
      <c r="IU2" t="e">
        <f>AND(Gagnasett!F43,"AAAAADc/2/4=")</f>
        <v>#VALUE!</v>
      </c>
      <c r="IV2" t="e">
        <f>AND(Gagnasett!G43,"AAAAADc/2/8=")</f>
        <v>#VALUE!</v>
      </c>
    </row>
    <row r="3" spans="1:256" x14ac:dyDescent="0.3">
      <c r="A3" t="e">
        <f>AND(Gagnasett!H43,"AAAAAH989QA=")</f>
        <v>#VALUE!</v>
      </c>
      <c r="B3" t="e">
        <f>AND(Gagnasett!I43,"AAAAAH989QE=")</f>
        <v>#VALUE!</v>
      </c>
      <c r="C3" t="e">
        <f>AND(Gagnasett!J43,"AAAAAH989QI=")</f>
        <v>#VALUE!</v>
      </c>
      <c r="D3" t="e">
        <f>AND(Gagnasett!K43,"AAAAAH989QM=")</f>
        <v>#VALUE!</v>
      </c>
      <c r="E3" t="e">
        <f>IF(Gagnasett!44:44,"AAAAAH989QQ=",0)</f>
        <v>#VALUE!</v>
      </c>
      <c r="F3" t="e">
        <f>AND(Gagnasett!A44,"AAAAAH989QU=")</f>
        <v>#VALUE!</v>
      </c>
      <c r="G3" t="e">
        <f>AND(Gagnasett!B44,"AAAAAH989QY=")</f>
        <v>#VALUE!</v>
      </c>
      <c r="H3" t="e">
        <f>AND(Gagnasett!C44,"AAAAAH989Qc=")</f>
        <v>#VALUE!</v>
      </c>
      <c r="I3" t="e">
        <f>AND(Gagnasett!D44,"AAAAAH989Qg=")</f>
        <v>#VALUE!</v>
      </c>
      <c r="J3" t="e">
        <f>AND(Gagnasett!E44,"AAAAAH989Qk=")</f>
        <v>#VALUE!</v>
      </c>
      <c r="K3" t="e">
        <f>AND(Gagnasett!F44,"AAAAAH989Qo=")</f>
        <v>#VALUE!</v>
      </c>
      <c r="L3" t="e">
        <f>AND(Gagnasett!G44,"AAAAAH989Qs=")</f>
        <v>#VALUE!</v>
      </c>
      <c r="M3" t="e">
        <f>AND(Gagnasett!H44,"AAAAAH989Qw=")</f>
        <v>#VALUE!</v>
      </c>
      <c r="N3" t="e">
        <f>AND(Gagnasett!I44,"AAAAAH989Q0=")</f>
        <v>#VALUE!</v>
      </c>
      <c r="O3" t="e">
        <f>AND(Gagnasett!J44,"AAAAAH989Q4=")</f>
        <v>#VALUE!</v>
      </c>
      <c r="P3" t="e">
        <f>AND(Gagnasett!K44,"AAAAAH989Q8=")</f>
        <v>#VALUE!</v>
      </c>
      <c r="Q3">
        <f>IF(Gagnasett!45:45,"AAAAAH989RA=",0)</f>
        <v>0</v>
      </c>
      <c r="R3" t="e">
        <f>AND(Gagnasett!A45,"AAAAAH989RE=")</f>
        <v>#VALUE!</v>
      </c>
      <c r="S3" t="e">
        <f>AND(Gagnasett!B45,"AAAAAH989RI=")</f>
        <v>#VALUE!</v>
      </c>
      <c r="T3" t="e">
        <f>AND(Gagnasett!C45,"AAAAAH989RM=")</f>
        <v>#VALUE!</v>
      </c>
      <c r="U3" t="e">
        <f>AND(Gagnasett!D45,"AAAAAH989RQ=")</f>
        <v>#VALUE!</v>
      </c>
      <c r="V3" t="e">
        <f>AND(Gagnasett!E45,"AAAAAH989RU=")</f>
        <v>#VALUE!</v>
      </c>
      <c r="W3" t="e">
        <f>AND(Gagnasett!F45,"AAAAAH989RY=")</f>
        <v>#VALUE!</v>
      </c>
      <c r="X3" t="e">
        <f>AND(Gagnasett!G45,"AAAAAH989Rc=")</f>
        <v>#VALUE!</v>
      </c>
      <c r="Y3" t="e">
        <f>AND(Gagnasett!H45,"AAAAAH989Rg=")</f>
        <v>#VALUE!</v>
      </c>
      <c r="Z3" t="e">
        <f>AND(Gagnasett!I45,"AAAAAH989Rk=")</f>
        <v>#VALUE!</v>
      </c>
      <c r="AA3" t="e">
        <f>AND(Gagnasett!J45,"AAAAAH989Ro=")</f>
        <v>#VALUE!</v>
      </c>
      <c r="AB3" t="e">
        <f>AND(Gagnasett!K45,"AAAAAH989Rs=")</f>
        <v>#VALUE!</v>
      </c>
      <c r="AC3">
        <f>IF(Gagnasett!46:46,"AAAAAH989Rw=",0)</f>
        <v>0</v>
      </c>
      <c r="AD3" t="e">
        <f>AND(Gagnasett!A46,"AAAAAH989R0=")</f>
        <v>#VALUE!</v>
      </c>
      <c r="AE3" t="e">
        <f>AND(Gagnasett!B46,"AAAAAH989R4=")</f>
        <v>#VALUE!</v>
      </c>
      <c r="AF3" t="e">
        <f>AND(Gagnasett!C46,"AAAAAH989R8=")</f>
        <v>#VALUE!</v>
      </c>
      <c r="AG3" t="e">
        <f>AND(Gagnasett!D46,"AAAAAH989SA=")</f>
        <v>#VALUE!</v>
      </c>
      <c r="AH3" t="e">
        <f>AND(Gagnasett!E46,"AAAAAH989SE=")</f>
        <v>#VALUE!</v>
      </c>
      <c r="AI3" t="e">
        <f>AND(Gagnasett!F46,"AAAAAH989SI=")</f>
        <v>#VALUE!</v>
      </c>
      <c r="AJ3" t="e">
        <f>AND(Gagnasett!G46,"AAAAAH989SM=")</f>
        <v>#VALUE!</v>
      </c>
      <c r="AK3" t="e">
        <f>AND(Gagnasett!H46,"AAAAAH989SQ=")</f>
        <v>#VALUE!</v>
      </c>
      <c r="AL3" t="e">
        <f>AND(Gagnasett!I46,"AAAAAH989SU=")</f>
        <v>#VALUE!</v>
      </c>
      <c r="AM3" t="e">
        <f>AND(Gagnasett!J46,"AAAAAH989SY=")</f>
        <v>#VALUE!</v>
      </c>
      <c r="AN3" t="e">
        <f>AND(Gagnasett!K46,"AAAAAH989Sc=")</f>
        <v>#VALUE!</v>
      </c>
      <c r="AO3">
        <f>IF(Gagnasett!47:47,"AAAAAH989Sg=",0)</f>
        <v>0</v>
      </c>
      <c r="AP3" t="e">
        <f>AND(Gagnasett!A47,"AAAAAH989Sk=")</f>
        <v>#VALUE!</v>
      </c>
      <c r="AQ3" t="e">
        <f>AND(Gagnasett!B47,"AAAAAH989So=")</f>
        <v>#VALUE!</v>
      </c>
      <c r="AR3" t="e">
        <f>AND(Gagnasett!C47,"AAAAAH989Ss=")</f>
        <v>#VALUE!</v>
      </c>
      <c r="AS3" t="e">
        <f>AND(Gagnasett!D47,"AAAAAH989Sw=")</f>
        <v>#VALUE!</v>
      </c>
      <c r="AT3" t="e">
        <f>AND(Gagnasett!E47,"AAAAAH989S0=")</f>
        <v>#VALUE!</v>
      </c>
      <c r="AU3" t="e">
        <f>AND(Gagnasett!F47,"AAAAAH989S4=")</f>
        <v>#VALUE!</v>
      </c>
      <c r="AV3" t="e">
        <f>AND(Gagnasett!G47,"AAAAAH989S8=")</f>
        <v>#VALUE!</v>
      </c>
      <c r="AW3" t="e">
        <f>AND(Gagnasett!H47,"AAAAAH989TA=")</f>
        <v>#VALUE!</v>
      </c>
      <c r="AX3" t="e">
        <f>AND(Gagnasett!I47,"AAAAAH989TE=")</f>
        <v>#VALUE!</v>
      </c>
      <c r="AY3" t="e">
        <f>AND(Gagnasett!J47,"AAAAAH989TI=")</f>
        <v>#VALUE!</v>
      </c>
      <c r="AZ3" t="e">
        <f>AND(Gagnasett!K47,"AAAAAH989TM=")</f>
        <v>#VALUE!</v>
      </c>
      <c r="BA3">
        <f>IF(Gagnasett!48:48,"AAAAAH989TQ=",0)</f>
        <v>0</v>
      </c>
      <c r="BB3" t="e">
        <f>AND(Gagnasett!A48,"AAAAAH989TU=")</f>
        <v>#VALUE!</v>
      </c>
      <c r="BC3" t="e">
        <f>AND(Gagnasett!B48,"AAAAAH989TY=")</f>
        <v>#VALUE!</v>
      </c>
      <c r="BD3" t="e">
        <f>AND(Gagnasett!C48,"AAAAAH989Tc=")</f>
        <v>#VALUE!</v>
      </c>
      <c r="BE3" t="e">
        <f>AND(Gagnasett!D48,"AAAAAH989Tg=")</f>
        <v>#VALUE!</v>
      </c>
      <c r="BF3" t="e">
        <f>AND(Gagnasett!E48,"AAAAAH989Tk=")</f>
        <v>#VALUE!</v>
      </c>
      <c r="BG3" t="e">
        <f>AND(Gagnasett!F48,"AAAAAH989To=")</f>
        <v>#VALUE!</v>
      </c>
      <c r="BH3" t="e">
        <f>AND(Gagnasett!G48,"AAAAAH989Ts=")</f>
        <v>#VALUE!</v>
      </c>
      <c r="BI3" t="e">
        <f>AND(Gagnasett!H48,"AAAAAH989Tw=")</f>
        <v>#VALUE!</v>
      </c>
      <c r="BJ3" t="e">
        <f>AND(Gagnasett!I48,"AAAAAH989T0=")</f>
        <v>#VALUE!</v>
      </c>
      <c r="BK3" t="e">
        <f>AND(Gagnasett!J48,"AAAAAH989T4=")</f>
        <v>#VALUE!</v>
      </c>
      <c r="BL3" t="e">
        <f>AND(Gagnasett!K48,"AAAAAH989T8=")</f>
        <v>#VALUE!</v>
      </c>
      <c r="BM3">
        <f>IF(Gagnasett!49:49,"AAAAAH989UA=",0)</f>
        <v>0</v>
      </c>
      <c r="BN3" t="e">
        <f>AND(Gagnasett!A49,"AAAAAH989UE=")</f>
        <v>#VALUE!</v>
      </c>
      <c r="BO3" t="e">
        <f>AND(Gagnasett!B49,"AAAAAH989UI=")</f>
        <v>#VALUE!</v>
      </c>
      <c r="BP3" t="e">
        <f>AND(Gagnasett!C49,"AAAAAH989UM=")</f>
        <v>#VALUE!</v>
      </c>
      <c r="BQ3" t="e">
        <f>AND(Gagnasett!D49,"AAAAAH989UQ=")</f>
        <v>#VALUE!</v>
      </c>
      <c r="BR3" t="e">
        <f>AND(Gagnasett!E49,"AAAAAH989UU=")</f>
        <v>#VALUE!</v>
      </c>
      <c r="BS3" t="e">
        <f>AND(Gagnasett!F49,"AAAAAH989UY=")</f>
        <v>#VALUE!</v>
      </c>
      <c r="BT3" t="e">
        <f>AND(Gagnasett!G49,"AAAAAH989Uc=")</f>
        <v>#VALUE!</v>
      </c>
      <c r="BU3" t="e">
        <f>AND(Gagnasett!H49,"AAAAAH989Ug=")</f>
        <v>#VALUE!</v>
      </c>
      <c r="BV3" t="e">
        <f>AND(Gagnasett!I49,"AAAAAH989Uk=")</f>
        <v>#VALUE!</v>
      </c>
      <c r="BW3" t="e">
        <f>AND(Gagnasett!J49,"AAAAAH989Uo=")</f>
        <v>#VALUE!</v>
      </c>
      <c r="BX3" t="e">
        <f>AND(Gagnasett!K49,"AAAAAH989Us=")</f>
        <v>#VALUE!</v>
      </c>
      <c r="BY3">
        <f>IF(Gagnasett!50:50,"AAAAAH989Uw=",0)</f>
        <v>0</v>
      </c>
      <c r="BZ3" t="e">
        <f>AND(Gagnasett!A50,"AAAAAH989U0=")</f>
        <v>#VALUE!</v>
      </c>
      <c r="CA3" t="e">
        <f>AND(Gagnasett!B50,"AAAAAH989U4=")</f>
        <v>#VALUE!</v>
      </c>
      <c r="CB3" t="e">
        <f>AND(Gagnasett!C50,"AAAAAH989U8=")</f>
        <v>#VALUE!</v>
      </c>
      <c r="CC3" t="e">
        <f>AND(Gagnasett!D50,"AAAAAH989VA=")</f>
        <v>#VALUE!</v>
      </c>
      <c r="CD3" t="e">
        <f>AND(Gagnasett!E50,"AAAAAH989VE=")</f>
        <v>#VALUE!</v>
      </c>
      <c r="CE3" t="e">
        <f>AND(Gagnasett!F50,"AAAAAH989VI=")</f>
        <v>#VALUE!</v>
      </c>
      <c r="CF3" t="e">
        <f>AND(Gagnasett!G50,"AAAAAH989VM=")</f>
        <v>#VALUE!</v>
      </c>
      <c r="CG3" t="e">
        <f>AND(Gagnasett!H50,"AAAAAH989VQ=")</f>
        <v>#VALUE!</v>
      </c>
      <c r="CH3" t="e">
        <f>AND(Gagnasett!I50,"AAAAAH989VU=")</f>
        <v>#VALUE!</v>
      </c>
      <c r="CI3" t="e">
        <f>AND(Gagnasett!J50,"AAAAAH989VY=")</f>
        <v>#VALUE!</v>
      </c>
      <c r="CJ3" t="e">
        <f>AND(Gagnasett!K50,"AAAAAH989Vc=")</f>
        <v>#VALUE!</v>
      </c>
      <c r="CK3">
        <f>IF(Gagnasett!51:51,"AAAAAH989Vg=",0)</f>
        <v>0</v>
      </c>
      <c r="CL3" t="e">
        <f>AND(Gagnasett!A51,"AAAAAH989Vk=")</f>
        <v>#VALUE!</v>
      </c>
      <c r="CM3" t="e">
        <f>AND(Gagnasett!B51,"AAAAAH989Vo=")</f>
        <v>#VALUE!</v>
      </c>
      <c r="CN3" t="e">
        <f>AND(Gagnasett!C51,"AAAAAH989Vs=")</f>
        <v>#VALUE!</v>
      </c>
      <c r="CO3" t="e">
        <f>AND(Gagnasett!D51,"AAAAAH989Vw=")</f>
        <v>#VALUE!</v>
      </c>
      <c r="CP3" t="e">
        <f>AND(Gagnasett!E51,"AAAAAH989V0=")</f>
        <v>#VALUE!</v>
      </c>
      <c r="CQ3" t="e">
        <f>AND(Gagnasett!F51,"AAAAAH989V4=")</f>
        <v>#VALUE!</v>
      </c>
      <c r="CR3" t="e">
        <f>AND(Gagnasett!G51,"AAAAAH989V8=")</f>
        <v>#VALUE!</v>
      </c>
      <c r="CS3" t="e">
        <f>AND(Gagnasett!H51,"AAAAAH989WA=")</f>
        <v>#VALUE!</v>
      </c>
      <c r="CT3" t="e">
        <f>AND(Gagnasett!I51,"AAAAAH989WE=")</f>
        <v>#VALUE!</v>
      </c>
      <c r="CU3" t="e">
        <f>AND(Gagnasett!J51,"AAAAAH989WI=")</f>
        <v>#VALUE!</v>
      </c>
      <c r="CV3" t="e">
        <f>AND(Gagnasett!K51,"AAAAAH989WM=")</f>
        <v>#VALUE!</v>
      </c>
      <c r="CW3">
        <f>IF(Gagnasett!52:52,"AAAAAH989WQ=",0)</f>
        <v>0</v>
      </c>
      <c r="CX3" t="e">
        <f>AND(Gagnasett!A52,"AAAAAH989WU=")</f>
        <v>#VALUE!</v>
      </c>
      <c r="CY3" t="e">
        <f>AND(Gagnasett!B52,"AAAAAH989WY=")</f>
        <v>#VALUE!</v>
      </c>
      <c r="CZ3" t="e">
        <f>AND(Gagnasett!C52,"AAAAAH989Wc=")</f>
        <v>#VALUE!</v>
      </c>
      <c r="DA3" t="e">
        <f>AND(Gagnasett!D52,"AAAAAH989Wg=")</f>
        <v>#VALUE!</v>
      </c>
      <c r="DB3" t="e">
        <f>AND(Gagnasett!E52,"AAAAAH989Wk=")</f>
        <v>#VALUE!</v>
      </c>
      <c r="DC3" t="e">
        <f>AND(Gagnasett!F52,"AAAAAH989Wo=")</f>
        <v>#VALUE!</v>
      </c>
      <c r="DD3" t="e">
        <f>AND(Gagnasett!G52,"AAAAAH989Ws=")</f>
        <v>#VALUE!</v>
      </c>
      <c r="DE3" t="e">
        <f>AND(Gagnasett!H52,"AAAAAH989Ww=")</f>
        <v>#VALUE!</v>
      </c>
      <c r="DF3" t="e">
        <f>AND(Gagnasett!I52,"AAAAAH989W0=")</f>
        <v>#VALUE!</v>
      </c>
      <c r="DG3" t="e">
        <f>AND(Gagnasett!J52,"AAAAAH989W4=")</f>
        <v>#VALUE!</v>
      </c>
      <c r="DH3" t="e">
        <f>AND(Gagnasett!K52,"AAAAAH989W8=")</f>
        <v>#VALUE!</v>
      </c>
      <c r="DI3">
        <f>IF(Gagnasett!53:53,"AAAAAH989XA=",0)</f>
        <v>0</v>
      </c>
      <c r="DJ3" t="e">
        <f>AND(Gagnasett!A53,"AAAAAH989XE=")</f>
        <v>#VALUE!</v>
      </c>
      <c r="DK3" t="e">
        <f>AND(Gagnasett!B53,"AAAAAH989XI=")</f>
        <v>#VALUE!</v>
      </c>
      <c r="DL3" t="e">
        <f>AND(Gagnasett!C53,"AAAAAH989XM=")</f>
        <v>#VALUE!</v>
      </c>
      <c r="DM3" t="e">
        <f>AND(Gagnasett!D53,"AAAAAH989XQ=")</f>
        <v>#VALUE!</v>
      </c>
      <c r="DN3" t="e">
        <f>AND(Gagnasett!E53,"AAAAAH989XU=")</f>
        <v>#VALUE!</v>
      </c>
      <c r="DO3" t="e">
        <f>AND(Gagnasett!F53,"AAAAAH989XY=")</f>
        <v>#VALUE!</v>
      </c>
      <c r="DP3" t="e">
        <f>AND(Gagnasett!G53,"AAAAAH989Xc=")</f>
        <v>#VALUE!</v>
      </c>
      <c r="DQ3" t="e">
        <f>AND(Gagnasett!H53,"AAAAAH989Xg=")</f>
        <v>#VALUE!</v>
      </c>
      <c r="DR3" t="e">
        <f>AND(Gagnasett!I53,"AAAAAH989Xk=")</f>
        <v>#VALUE!</v>
      </c>
      <c r="DS3" t="e">
        <f>AND(Gagnasett!J53,"AAAAAH989Xo=")</f>
        <v>#VALUE!</v>
      </c>
      <c r="DT3" t="e">
        <f>AND(Gagnasett!K53,"AAAAAH989Xs=")</f>
        <v>#VALUE!</v>
      </c>
      <c r="DU3">
        <f>IF(Gagnasett!54:54,"AAAAAH989Xw=",0)</f>
        <v>0</v>
      </c>
      <c r="DV3" t="e">
        <f>AND(Gagnasett!A54,"AAAAAH989X0=")</f>
        <v>#VALUE!</v>
      </c>
      <c r="DW3" t="e">
        <f>AND(Gagnasett!B54,"AAAAAH989X4=")</f>
        <v>#VALUE!</v>
      </c>
      <c r="DX3" t="e">
        <f>AND(Gagnasett!C54,"AAAAAH989X8=")</f>
        <v>#VALUE!</v>
      </c>
      <c r="DY3" t="e">
        <f>AND(Gagnasett!D54,"AAAAAH989YA=")</f>
        <v>#VALUE!</v>
      </c>
      <c r="DZ3" t="e">
        <f>AND(Gagnasett!E54,"AAAAAH989YE=")</f>
        <v>#VALUE!</v>
      </c>
      <c r="EA3" t="e">
        <f>AND(Gagnasett!F54,"AAAAAH989YI=")</f>
        <v>#VALUE!</v>
      </c>
      <c r="EB3" t="e">
        <f>AND(Gagnasett!G54,"AAAAAH989YM=")</f>
        <v>#VALUE!</v>
      </c>
      <c r="EC3" t="e">
        <f>AND(Gagnasett!H54,"AAAAAH989YQ=")</f>
        <v>#VALUE!</v>
      </c>
      <c r="ED3" t="e">
        <f>AND(Gagnasett!I54,"AAAAAH989YU=")</f>
        <v>#VALUE!</v>
      </c>
      <c r="EE3" t="e">
        <f>AND(Gagnasett!J54,"AAAAAH989YY=")</f>
        <v>#VALUE!</v>
      </c>
      <c r="EF3" t="e">
        <f>AND(Gagnasett!K54,"AAAAAH989Yc=")</f>
        <v>#VALUE!</v>
      </c>
      <c r="EG3">
        <f>IF(Gagnasett!55:55,"AAAAAH989Yg=",0)</f>
        <v>0</v>
      </c>
      <c r="EH3" t="e">
        <f>AND(Gagnasett!A55,"AAAAAH989Yk=")</f>
        <v>#VALUE!</v>
      </c>
      <c r="EI3" t="e">
        <f>AND(Gagnasett!B55,"AAAAAH989Yo=")</f>
        <v>#VALUE!</v>
      </c>
      <c r="EJ3" t="e">
        <f>AND(Gagnasett!C55,"AAAAAH989Ys=")</f>
        <v>#VALUE!</v>
      </c>
      <c r="EK3" t="e">
        <f>AND(Gagnasett!D55,"AAAAAH989Yw=")</f>
        <v>#VALUE!</v>
      </c>
      <c r="EL3" t="e">
        <f>AND(Gagnasett!E55,"AAAAAH989Y0=")</f>
        <v>#VALUE!</v>
      </c>
      <c r="EM3" t="e">
        <f>AND(Gagnasett!F55,"AAAAAH989Y4=")</f>
        <v>#VALUE!</v>
      </c>
      <c r="EN3" t="e">
        <f>AND(Gagnasett!G55,"AAAAAH989Y8=")</f>
        <v>#VALUE!</v>
      </c>
      <c r="EO3" t="e">
        <f>AND(Gagnasett!H55,"AAAAAH989ZA=")</f>
        <v>#VALUE!</v>
      </c>
      <c r="EP3" t="e">
        <f>AND(Gagnasett!I55,"AAAAAH989ZE=")</f>
        <v>#VALUE!</v>
      </c>
      <c r="EQ3" t="e">
        <f>AND(Gagnasett!J55,"AAAAAH989ZI=")</f>
        <v>#VALUE!</v>
      </c>
      <c r="ER3" t="e">
        <f>AND(Gagnasett!K55,"AAAAAH989ZM=")</f>
        <v>#VALUE!</v>
      </c>
      <c r="ES3">
        <f>IF(Gagnasett!56:56,"AAAAAH989ZQ=",0)</f>
        <v>0</v>
      </c>
      <c r="ET3" t="e">
        <f>AND(Gagnasett!A56,"AAAAAH989ZU=")</f>
        <v>#VALUE!</v>
      </c>
      <c r="EU3" t="e">
        <f>AND(Gagnasett!B56,"AAAAAH989ZY=")</f>
        <v>#VALUE!</v>
      </c>
      <c r="EV3" t="e">
        <f>AND(Gagnasett!C56,"AAAAAH989Zc=")</f>
        <v>#VALUE!</v>
      </c>
      <c r="EW3" t="e">
        <f>AND(Gagnasett!D56,"AAAAAH989Zg=")</f>
        <v>#VALUE!</v>
      </c>
      <c r="EX3" t="e">
        <f>AND(Gagnasett!E56,"AAAAAH989Zk=")</f>
        <v>#VALUE!</v>
      </c>
      <c r="EY3" t="e">
        <f>AND(Gagnasett!F56,"AAAAAH989Zo=")</f>
        <v>#VALUE!</v>
      </c>
      <c r="EZ3" t="e">
        <f>AND(Gagnasett!G56,"AAAAAH989Zs=")</f>
        <v>#VALUE!</v>
      </c>
      <c r="FA3" t="e">
        <f>AND(Gagnasett!H56,"AAAAAH989Zw=")</f>
        <v>#VALUE!</v>
      </c>
      <c r="FB3" t="e">
        <f>AND(Gagnasett!I56,"AAAAAH989Z0=")</f>
        <v>#VALUE!</v>
      </c>
      <c r="FC3" t="e">
        <f>AND(Gagnasett!J56,"AAAAAH989Z4=")</f>
        <v>#VALUE!</v>
      </c>
      <c r="FD3" t="e">
        <f>AND(Gagnasett!K56,"AAAAAH989Z8=")</f>
        <v>#VALUE!</v>
      </c>
      <c r="FE3">
        <f>IF(Gagnasett!57:57,"AAAAAH989aA=",0)</f>
        <v>0</v>
      </c>
      <c r="FF3" t="e">
        <f>AND(Gagnasett!A57,"AAAAAH989aE=")</f>
        <v>#VALUE!</v>
      </c>
      <c r="FG3" t="e">
        <f>AND(Gagnasett!B57,"AAAAAH989aI=")</f>
        <v>#VALUE!</v>
      </c>
      <c r="FH3" t="e">
        <f>AND(Gagnasett!C57,"AAAAAH989aM=")</f>
        <v>#VALUE!</v>
      </c>
      <c r="FI3" t="e">
        <f>AND(Gagnasett!D57,"AAAAAH989aQ=")</f>
        <v>#VALUE!</v>
      </c>
      <c r="FJ3" t="e">
        <f>AND(Gagnasett!E57,"AAAAAH989aU=")</f>
        <v>#VALUE!</v>
      </c>
      <c r="FK3" t="e">
        <f>AND(Gagnasett!F57,"AAAAAH989aY=")</f>
        <v>#VALUE!</v>
      </c>
      <c r="FL3" t="e">
        <f>AND(Gagnasett!G57,"AAAAAH989ac=")</f>
        <v>#VALUE!</v>
      </c>
      <c r="FM3" t="e">
        <f>AND(Gagnasett!H57,"AAAAAH989ag=")</f>
        <v>#VALUE!</v>
      </c>
      <c r="FN3" t="e">
        <f>AND(Gagnasett!I57,"AAAAAH989ak=")</f>
        <v>#VALUE!</v>
      </c>
      <c r="FO3" t="e">
        <f>AND(Gagnasett!J57,"AAAAAH989ao=")</f>
        <v>#VALUE!</v>
      </c>
      <c r="FP3" t="e">
        <f>AND(Gagnasett!K57,"AAAAAH989as=")</f>
        <v>#VALUE!</v>
      </c>
      <c r="FQ3">
        <f>IF(Gagnasett!58:58,"AAAAAH989aw=",0)</f>
        <v>0</v>
      </c>
      <c r="FR3" t="e">
        <f>AND(Gagnasett!A58,"AAAAAH989a0=")</f>
        <v>#VALUE!</v>
      </c>
      <c r="FS3" t="e">
        <f>AND(Gagnasett!B58,"AAAAAH989a4=")</f>
        <v>#VALUE!</v>
      </c>
      <c r="FT3" t="e">
        <f>AND(Gagnasett!C58,"AAAAAH989a8=")</f>
        <v>#VALUE!</v>
      </c>
      <c r="FU3" t="e">
        <f>AND(Gagnasett!D58,"AAAAAH989bA=")</f>
        <v>#VALUE!</v>
      </c>
      <c r="FV3" t="e">
        <f>AND(Gagnasett!E58,"AAAAAH989bE=")</f>
        <v>#VALUE!</v>
      </c>
      <c r="FW3" t="e">
        <f>AND(Gagnasett!F58,"AAAAAH989bI=")</f>
        <v>#VALUE!</v>
      </c>
      <c r="FX3" t="e">
        <f>AND(Gagnasett!G58,"AAAAAH989bM=")</f>
        <v>#VALUE!</v>
      </c>
      <c r="FY3" t="e">
        <f>AND(Gagnasett!H58,"AAAAAH989bQ=")</f>
        <v>#VALUE!</v>
      </c>
      <c r="FZ3" t="e">
        <f>AND(Gagnasett!I58,"AAAAAH989bU=")</f>
        <v>#VALUE!</v>
      </c>
      <c r="GA3" t="e">
        <f>AND(Gagnasett!J58,"AAAAAH989bY=")</f>
        <v>#VALUE!</v>
      </c>
      <c r="GB3" t="e">
        <f>AND(Gagnasett!K58,"AAAAAH989bc=")</f>
        <v>#VALUE!</v>
      </c>
      <c r="GC3">
        <f>IF(Gagnasett!59:59,"AAAAAH989bg=",0)</f>
        <v>0</v>
      </c>
      <c r="GD3" t="e">
        <f>AND(Gagnasett!A59,"AAAAAH989bk=")</f>
        <v>#VALUE!</v>
      </c>
      <c r="GE3" t="e">
        <f>AND(Gagnasett!B59,"AAAAAH989bo=")</f>
        <v>#VALUE!</v>
      </c>
      <c r="GF3" t="e">
        <f>AND(Gagnasett!C59,"AAAAAH989bs=")</f>
        <v>#VALUE!</v>
      </c>
      <c r="GG3" t="e">
        <f>AND(Gagnasett!D59,"AAAAAH989bw=")</f>
        <v>#VALUE!</v>
      </c>
      <c r="GH3" t="e">
        <f>AND(Gagnasett!E59,"AAAAAH989b0=")</f>
        <v>#VALUE!</v>
      </c>
      <c r="GI3" t="e">
        <f>AND(Gagnasett!F59,"AAAAAH989b4=")</f>
        <v>#VALUE!</v>
      </c>
      <c r="GJ3" t="e">
        <f>AND(Gagnasett!G59,"AAAAAH989b8=")</f>
        <v>#VALUE!</v>
      </c>
      <c r="GK3" t="e">
        <f>AND(Gagnasett!H59,"AAAAAH989cA=")</f>
        <v>#VALUE!</v>
      </c>
      <c r="GL3" t="e">
        <f>AND(Gagnasett!I59,"AAAAAH989cE=")</f>
        <v>#VALUE!</v>
      </c>
      <c r="GM3" t="e">
        <f>AND(Gagnasett!J59,"AAAAAH989cI=")</f>
        <v>#VALUE!</v>
      </c>
      <c r="GN3" t="e">
        <f>AND(Gagnasett!K59,"AAAAAH989cM=")</f>
        <v>#VALUE!</v>
      </c>
      <c r="GO3">
        <f>IF(Gagnasett!60:60,"AAAAAH989cQ=",0)</f>
        <v>0</v>
      </c>
      <c r="GP3" t="e">
        <f>AND(Gagnasett!A60,"AAAAAH989cU=")</f>
        <v>#VALUE!</v>
      </c>
      <c r="GQ3" t="e">
        <f>AND(Gagnasett!B60,"AAAAAH989cY=")</f>
        <v>#VALUE!</v>
      </c>
      <c r="GR3" t="e">
        <f>AND(Gagnasett!C60,"AAAAAH989cc=")</f>
        <v>#VALUE!</v>
      </c>
      <c r="GS3" t="e">
        <f>AND(Gagnasett!D60,"AAAAAH989cg=")</f>
        <v>#VALUE!</v>
      </c>
      <c r="GT3" t="e">
        <f>AND(Gagnasett!E60,"AAAAAH989ck=")</f>
        <v>#VALUE!</v>
      </c>
      <c r="GU3" t="e">
        <f>AND(Gagnasett!F60,"AAAAAH989co=")</f>
        <v>#VALUE!</v>
      </c>
      <c r="GV3" t="e">
        <f>AND(Gagnasett!G60,"AAAAAH989cs=")</f>
        <v>#VALUE!</v>
      </c>
      <c r="GW3" t="e">
        <f>AND(Gagnasett!H60,"AAAAAH989cw=")</f>
        <v>#VALUE!</v>
      </c>
      <c r="GX3" t="e">
        <f>AND(Gagnasett!I60,"AAAAAH989c0=")</f>
        <v>#VALUE!</v>
      </c>
      <c r="GY3" t="e">
        <f>AND(Gagnasett!J60,"AAAAAH989c4=")</f>
        <v>#VALUE!</v>
      </c>
      <c r="GZ3" t="e">
        <f>AND(Gagnasett!K60,"AAAAAH989c8=")</f>
        <v>#VALUE!</v>
      </c>
      <c r="HA3">
        <f>IF(Gagnasett!61:61,"AAAAAH989dA=",0)</f>
        <v>0</v>
      </c>
      <c r="HB3" t="e">
        <f>AND(Gagnasett!A61,"AAAAAH989dE=")</f>
        <v>#VALUE!</v>
      </c>
      <c r="HC3" t="e">
        <f>AND(Gagnasett!B61,"AAAAAH989dI=")</f>
        <v>#VALUE!</v>
      </c>
      <c r="HD3" t="e">
        <f>AND(Gagnasett!C61,"AAAAAH989dM=")</f>
        <v>#VALUE!</v>
      </c>
      <c r="HE3" t="e">
        <f>AND(Gagnasett!D61,"AAAAAH989dQ=")</f>
        <v>#VALUE!</v>
      </c>
      <c r="HF3" t="e">
        <f>AND(Gagnasett!E61,"AAAAAH989dU=")</f>
        <v>#VALUE!</v>
      </c>
      <c r="HG3" t="e">
        <f>AND(Gagnasett!F61,"AAAAAH989dY=")</f>
        <v>#VALUE!</v>
      </c>
      <c r="HH3" t="e">
        <f>AND(Gagnasett!G61,"AAAAAH989dc=")</f>
        <v>#VALUE!</v>
      </c>
      <c r="HI3" t="e">
        <f>AND(Gagnasett!H61,"AAAAAH989dg=")</f>
        <v>#VALUE!</v>
      </c>
      <c r="HJ3" t="e">
        <f>AND(Gagnasett!I61,"AAAAAH989dk=")</f>
        <v>#VALUE!</v>
      </c>
      <c r="HK3" t="e">
        <f>AND(Gagnasett!J61,"AAAAAH989do=")</f>
        <v>#VALUE!</v>
      </c>
      <c r="HL3" t="e">
        <f>AND(Gagnasett!K61,"AAAAAH989ds=")</f>
        <v>#VALUE!</v>
      </c>
      <c r="HM3">
        <f>IF(Gagnasett!62:62,"AAAAAH989dw=",0)</f>
        <v>0</v>
      </c>
      <c r="HN3" t="e">
        <f>AND(Gagnasett!A62,"AAAAAH989d0=")</f>
        <v>#VALUE!</v>
      </c>
      <c r="HO3" t="e">
        <f>AND(Gagnasett!B62,"AAAAAH989d4=")</f>
        <v>#VALUE!</v>
      </c>
      <c r="HP3" t="e">
        <f>AND(Gagnasett!C62,"AAAAAH989d8=")</f>
        <v>#VALUE!</v>
      </c>
      <c r="HQ3" t="e">
        <f>AND(Gagnasett!D62,"AAAAAH989eA=")</f>
        <v>#VALUE!</v>
      </c>
      <c r="HR3" t="e">
        <f>AND(Gagnasett!E62,"AAAAAH989eE=")</f>
        <v>#VALUE!</v>
      </c>
      <c r="HS3" t="e">
        <f>AND(Gagnasett!F62,"AAAAAH989eI=")</f>
        <v>#VALUE!</v>
      </c>
      <c r="HT3" t="e">
        <f>AND(Gagnasett!G62,"AAAAAH989eM=")</f>
        <v>#VALUE!</v>
      </c>
      <c r="HU3" t="e">
        <f>AND(Gagnasett!H62,"AAAAAH989eQ=")</f>
        <v>#VALUE!</v>
      </c>
      <c r="HV3" t="e">
        <f>AND(Gagnasett!I62,"AAAAAH989eU=")</f>
        <v>#VALUE!</v>
      </c>
      <c r="HW3" t="e">
        <f>AND(Gagnasett!J62,"AAAAAH989eY=")</f>
        <v>#VALUE!</v>
      </c>
      <c r="HX3" t="e">
        <f>AND(Gagnasett!K62,"AAAAAH989ec=")</f>
        <v>#VALUE!</v>
      </c>
      <c r="HY3">
        <f>IF(Gagnasett!63:63,"AAAAAH989eg=",0)</f>
        <v>0</v>
      </c>
      <c r="HZ3" t="e">
        <f>AND(Gagnasett!A63,"AAAAAH989ek=")</f>
        <v>#VALUE!</v>
      </c>
      <c r="IA3" t="e">
        <f>AND(Gagnasett!B63,"AAAAAH989eo=")</f>
        <v>#VALUE!</v>
      </c>
      <c r="IB3" t="e">
        <f>AND(Gagnasett!C63,"AAAAAH989es=")</f>
        <v>#VALUE!</v>
      </c>
      <c r="IC3" t="e">
        <f>AND(Gagnasett!D63,"AAAAAH989ew=")</f>
        <v>#VALUE!</v>
      </c>
      <c r="ID3" t="e">
        <f>AND(Gagnasett!E63,"AAAAAH989e0=")</f>
        <v>#VALUE!</v>
      </c>
      <c r="IE3" t="e">
        <f>AND(Gagnasett!F63,"AAAAAH989e4=")</f>
        <v>#VALUE!</v>
      </c>
      <c r="IF3" t="e">
        <f>AND(Gagnasett!G63,"AAAAAH989e8=")</f>
        <v>#VALUE!</v>
      </c>
      <c r="IG3" t="e">
        <f>AND(Gagnasett!H63,"AAAAAH989fA=")</f>
        <v>#VALUE!</v>
      </c>
      <c r="IH3" t="e">
        <f>AND(Gagnasett!I63,"AAAAAH989fE=")</f>
        <v>#VALUE!</v>
      </c>
      <c r="II3" t="e">
        <f>AND(Gagnasett!J63,"AAAAAH989fI=")</f>
        <v>#VALUE!</v>
      </c>
      <c r="IJ3" t="e">
        <f>AND(Gagnasett!K63,"AAAAAH989fM=")</f>
        <v>#VALUE!</v>
      </c>
      <c r="IK3">
        <f>IF(Gagnasett!64:64,"AAAAAH989fQ=",0)</f>
        <v>0</v>
      </c>
      <c r="IL3" t="e">
        <f>AND(Gagnasett!A64,"AAAAAH989fU=")</f>
        <v>#VALUE!</v>
      </c>
      <c r="IM3" t="e">
        <f>AND(Gagnasett!B64,"AAAAAH989fY=")</f>
        <v>#VALUE!</v>
      </c>
      <c r="IN3" t="e">
        <f>AND(Gagnasett!C64,"AAAAAH989fc=")</f>
        <v>#VALUE!</v>
      </c>
      <c r="IO3" t="e">
        <f>AND(Gagnasett!D64,"AAAAAH989fg=")</f>
        <v>#VALUE!</v>
      </c>
      <c r="IP3" t="e">
        <f>AND(Gagnasett!E64,"AAAAAH989fk=")</f>
        <v>#VALUE!</v>
      </c>
      <c r="IQ3" t="e">
        <f>AND(Gagnasett!F64,"AAAAAH989fo=")</f>
        <v>#VALUE!</v>
      </c>
      <c r="IR3" t="e">
        <f>AND(Gagnasett!G64,"AAAAAH989fs=")</f>
        <v>#VALUE!</v>
      </c>
      <c r="IS3" t="e">
        <f>AND(Gagnasett!H64,"AAAAAH989fw=")</f>
        <v>#VALUE!</v>
      </c>
      <c r="IT3" t="e">
        <f>AND(Gagnasett!I64,"AAAAAH989f0=")</f>
        <v>#VALUE!</v>
      </c>
      <c r="IU3" t="e">
        <f>AND(Gagnasett!J64,"AAAAAH989f4=")</f>
        <v>#VALUE!</v>
      </c>
      <c r="IV3" t="e">
        <f>AND(Gagnasett!K64,"AAAAAH989f8=")</f>
        <v>#VALUE!</v>
      </c>
    </row>
    <row r="4" spans="1:256" x14ac:dyDescent="0.3">
      <c r="A4" t="e">
        <f>IF(Gagnasett!65:65,"AAAAAH7/fwA=",0)</f>
        <v>#VALUE!</v>
      </c>
      <c r="B4" t="e">
        <f>AND(Gagnasett!A65,"AAAAAH7/fwE=")</f>
        <v>#VALUE!</v>
      </c>
      <c r="C4" t="e">
        <f>AND(Gagnasett!B65,"AAAAAH7/fwI=")</f>
        <v>#VALUE!</v>
      </c>
      <c r="D4" t="e">
        <f>AND(Gagnasett!C65,"AAAAAH7/fwM=")</f>
        <v>#VALUE!</v>
      </c>
      <c r="E4" t="e">
        <f>AND(Gagnasett!D65,"AAAAAH7/fwQ=")</f>
        <v>#VALUE!</v>
      </c>
      <c r="F4" t="e">
        <f>AND(Gagnasett!E65,"AAAAAH7/fwU=")</f>
        <v>#VALUE!</v>
      </c>
      <c r="G4" t="e">
        <f>AND(Gagnasett!F65,"AAAAAH7/fwY=")</f>
        <v>#VALUE!</v>
      </c>
      <c r="H4" t="e">
        <f>AND(Gagnasett!G65,"AAAAAH7/fwc=")</f>
        <v>#VALUE!</v>
      </c>
      <c r="I4" t="e">
        <f>AND(Gagnasett!H65,"AAAAAH7/fwg=")</f>
        <v>#VALUE!</v>
      </c>
      <c r="J4" t="e">
        <f>AND(Gagnasett!I65,"AAAAAH7/fwk=")</f>
        <v>#VALUE!</v>
      </c>
      <c r="K4" t="e">
        <f>AND(Gagnasett!J65,"AAAAAH7/fwo=")</f>
        <v>#VALUE!</v>
      </c>
      <c r="L4" t="e">
        <f>AND(Gagnasett!K65,"AAAAAH7/fws=")</f>
        <v>#VALUE!</v>
      </c>
      <c r="M4">
        <f>IF(Gagnasett!66:66,"AAAAAH7/fww=",0)</f>
        <v>0</v>
      </c>
      <c r="N4" t="e">
        <f>AND(Gagnasett!A66,"AAAAAH7/fw0=")</f>
        <v>#VALUE!</v>
      </c>
      <c r="O4" t="e">
        <f>AND(Gagnasett!B66,"AAAAAH7/fw4=")</f>
        <v>#VALUE!</v>
      </c>
      <c r="P4" t="e">
        <f>AND(Gagnasett!C66,"AAAAAH7/fw8=")</f>
        <v>#VALUE!</v>
      </c>
      <c r="Q4" t="e">
        <f>AND(Gagnasett!D66,"AAAAAH7/fxA=")</f>
        <v>#VALUE!</v>
      </c>
      <c r="R4" t="e">
        <f>AND(Gagnasett!E66,"AAAAAH7/fxE=")</f>
        <v>#VALUE!</v>
      </c>
      <c r="S4" t="e">
        <f>AND(Gagnasett!F66,"AAAAAH7/fxI=")</f>
        <v>#VALUE!</v>
      </c>
      <c r="T4" t="e">
        <f>AND(Gagnasett!G66,"AAAAAH7/fxM=")</f>
        <v>#VALUE!</v>
      </c>
      <c r="U4" t="e">
        <f>AND(Gagnasett!H66,"AAAAAH7/fxQ=")</f>
        <v>#VALUE!</v>
      </c>
      <c r="V4" t="e">
        <f>AND(Gagnasett!I66,"AAAAAH7/fxU=")</f>
        <v>#VALUE!</v>
      </c>
      <c r="W4" t="e">
        <f>AND(Gagnasett!J66,"AAAAAH7/fxY=")</f>
        <v>#VALUE!</v>
      </c>
      <c r="X4" t="e">
        <f>AND(Gagnasett!K66,"AAAAAH7/fxc=")</f>
        <v>#VALUE!</v>
      </c>
      <c r="Y4">
        <f>IF(Gagnasett!67:67,"AAAAAH7/fxg=",0)</f>
        <v>0</v>
      </c>
      <c r="Z4" t="e">
        <f>AND(Gagnasett!A67,"AAAAAH7/fxk=")</f>
        <v>#VALUE!</v>
      </c>
      <c r="AA4" t="e">
        <f>AND(Gagnasett!B67,"AAAAAH7/fxo=")</f>
        <v>#VALUE!</v>
      </c>
      <c r="AB4" t="e">
        <f>AND(Gagnasett!C67,"AAAAAH7/fxs=")</f>
        <v>#VALUE!</v>
      </c>
      <c r="AC4" t="e">
        <f>AND(Gagnasett!D67,"AAAAAH7/fxw=")</f>
        <v>#VALUE!</v>
      </c>
      <c r="AD4" t="e">
        <f>AND(Gagnasett!E67,"AAAAAH7/fx0=")</f>
        <v>#VALUE!</v>
      </c>
      <c r="AE4" t="e">
        <f>AND(Gagnasett!F67,"AAAAAH7/fx4=")</f>
        <v>#VALUE!</v>
      </c>
      <c r="AF4" t="e">
        <f>AND(Gagnasett!G67,"AAAAAH7/fx8=")</f>
        <v>#VALUE!</v>
      </c>
      <c r="AG4" t="e">
        <f>AND(Gagnasett!H67,"AAAAAH7/fyA=")</f>
        <v>#VALUE!</v>
      </c>
      <c r="AH4" t="e">
        <f>AND(Gagnasett!I67,"AAAAAH7/fyE=")</f>
        <v>#VALUE!</v>
      </c>
      <c r="AI4" t="e">
        <f>AND(Gagnasett!J67,"AAAAAH7/fyI=")</f>
        <v>#VALUE!</v>
      </c>
      <c r="AJ4" t="e">
        <f>AND(Gagnasett!K67,"AAAAAH7/fyM=")</f>
        <v>#VALUE!</v>
      </c>
      <c r="AK4">
        <f>IF(Gagnasett!68:68,"AAAAAH7/fyQ=",0)</f>
        <v>0</v>
      </c>
      <c r="AL4" t="e">
        <f>AND(Gagnasett!A68,"AAAAAH7/fyU=")</f>
        <v>#VALUE!</v>
      </c>
      <c r="AM4" t="e">
        <f>AND(Gagnasett!B68,"AAAAAH7/fyY=")</f>
        <v>#VALUE!</v>
      </c>
      <c r="AN4" t="e">
        <f>AND(Gagnasett!C68,"AAAAAH7/fyc=")</f>
        <v>#VALUE!</v>
      </c>
      <c r="AO4" t="e">
        <f>AND(Gagnasett!D68,"AAAAAH7/fyg=")</f>
        <v>#VALUE!</v>
      </c>
      <c r="AP4" t="e">
        <f>AND(Gagnasett!E68,"AAAAAH7/fyk=")</f>
        <v>#VALUE!</v>
      </c>
      <c r="AQ4" t="e">
        <f>AND(Gagnasett!F68,"AAAAAH7/fyo=")</f>
        <v>#VALUE!</v>
      </c>
      <c r="AR4" t="e">
        <f>AND(Gagnasett!G68,"AAAAAH7/fys=")</f>
        <v>#VALUE!</v>
      </c>
      <c r="AS4" t="e">
        <f>AND(Gagnasett!H68,"AAAAAH7/fyw=")</f>
        <v>#VALUE!</v>
      </c>
      <c r="AT4" t="e">
        <f>AND(Gagnasett!I68,"AAAAAH7/fy0=")</f>
        <v>#VALUE!</v>
      </c>
      <c r="AU4" t="e">
        <f>AND(Gagnasett!J68,"AAAAAH7/fy4=")</f>
        <v>#VALUE!</v>
      </c>
      <c r="AV4" t="e">
        <f>AND(Gagnasett!K68,"AAAAAH7/fy8=")</f>
        <v>#VALUE!</v>
      </c>
      <c r="AW4">
        <f>IF(Gagnasett!69:69,"AAAAAH7/fzA=",0)</f>
        <v>0</v>
      </c>
      <c r="AX4" t="e">
        <f>AND(Gagnasett!A69,"AAAAAH7/fzE=")</f>
        <v>#VALUE!</v>
      </c>
      <c r="AY4" t="e">
        <f>AND(Gagnasett!B69,"AAAAAH7/fzI=")</f>
        <v>#VALUE!</v>
      </c>
      <c r="AZ4" t="e">
        <f>AND(Gagnasett!C69,"AAAAAH7/fzM=")</f>
        <v>#VALUE!</v>
      </c>
      <c r="BA4" t="e">
        <f>AND(Gagnasett!D69,"AAAAAH7/fzQ=")</f>
        <v>#VALUE!</v>
      </c>
      <c r="BB4" t="e">
        <f>AND(Gagnasett!E69,"AAAAAH7/fzU=")</f>
        <v>#VALUE!</v>
      </c>
      <c r="BC4" t="e">
        <f>AND(Gagnasett!F69,"AAAAAH7/fzY=")</f>
        <v>#VALUE!</v>
      </c>
      <c r="BD4" t="e">
        <f>AND(Gagnasett!G69,"AAAAAH7/fzc=")</f>
        <v>#VALUE!</v>
      </c>
      <c r="BE4" t="e">
        <f>AND(Gagnasett!H69,"AAAAAH7/fzg=")</f>
        <v>#VALUE!</v>
      </c>
      <c r="BF4" t="e">
        <f>AND(Gagnasett!I69,"AAAAAH7/fzk=")</f>
        <v>#VALUE!</v>
      </c>
      <c r="BG4" t="e">
        <f>AND(Gagnasett!J69,"AAAAAH7/fzo=")</f>
        <v>#VALUE!</v>
      </c>
      <c r="BH4" t="e">
        <f>AND(Gagnasett!K69,"AAAAAH7/fzs=")</f>
        <v>#VALUE!</v>
      </c>
      <c r="BI4">
        <f>IF(Gagnasett!70:70,"AAAAAH7/fzw=",0)</f>
        <v>0</v>
      </c>
      <c r="BJ4" t="e">
        <f>AND(Gagnasett!A70,"AAAAAH7/fz0=")</f>
        <v>#VALUE!</v>
      </c>
      <c r="BK4" t="e">
        <f>AND(Gagnasett!B70,"AAAAAH7/fz4=")</f>
        <v>#VALUE!</v>
      </c>
      <c r="BL4" t="e">
        <f>AND(Gagnasett!C70,"AAAAAH7/fz8=")</f>
        <v>#VALUE!</v>
      </c>
      <c r="BM4" t="e">
        <f>AND(Gagnasett!D70,"AAAAAH7/f0A=")</f>
        <v>#VALUE!</v>
      </c>
      <c r="BN4" t="e">
        <f>AND(Gagnasett!E70,"AAAAAH7/f0E=")</f>
        <v>#VALUE!</v>
      </c>
      <c r="BO4" t="e">
        <f>AND(Gagnasett!F70,"AAAAAH7/f0I=")</f>
        <v>#VALUE!</v>
      </c>
      <c r="BP4" t="e">
        <f>AND(Gagnasett!G70,"AAAAAH7/f0M=")</f>
        <v>#VALUE!</v>
      </c>
      <c r="BQ4" t="e">
        <f>AND(Gagnasett!H70,"AAAAAH7/f0Q=")</f>
        <v>#VALUE!</v>
      </c>
      <c r="BR4" t="e">
        <f>AND(Gagnasett!I70,"AAAAAH7/f0U=")</f>
        <v>#VALUE!</v>
      </c>
      <c r="BS4" t="e">
        <f>AND(Gagnasett!J70,"AAAAAH7/f0Y=")</f>
        <v>#VALUE!</v>
      </c>
      <c r="BT4" t="e">
        <f>AND(Gagnasett!K70,"AAAAAH7/f0c=")</f>
        <v>#VALUE!</v>
      </c>
      <c r="BU4">
        <f>IF(Gagnasett!71:71,"AAAAAH7/f0g=",0)</f>
        <v>0</v>
      </c>
      <c r="BV4" t="e">
        <f>AND(Gagnasett!A71,"AAAAAH7/f0k=")</f>
        <v>#VALUE!</v>
      </c>
      <c r="BW4" t="e">
        <f>AND(Gagnasett!B71,"AAAAAH7/f0o=")</f>
        <v>#VALUE!</v>
      </c>
      <c r="BX4" t="e">
        <f>AND(Gagnasett!C71,"AAAAAH7/f0s=")</f>
        <v>#VALUE!</v>
      </c>
      <c r="BY4" t="e">
        <f>AND(Gagnasett!D71,"AAAAAH7/f0w=")</f>
        <v>#VALUE!</v>
      </c>
      <c r="BZ4" t="e">
        <f>AND(Gagnasett!E71,"AAAAAH7/f00=")</f>
        <v>#VALUE!</v>
      </c>
      <c r="CA4" t="e">
        <f>AND(Gagnasett!F71,"AAAAAH7/f04=")</f>
        <v>#VALUE!</v>
      </c>
      <c r="CB4" t="e">
        <f>AND(Gagnasett!G71,"AAAAAH7/f08=")</f>
        <v>#VALUE!</v>
      </c>
      <c r="CC4" t="e">
        <f>AND(Gagnasett!H71,"AAAAAH7/f1A=")</f>
        <v>#VALUE!</v>
      </c>
      <c r="CD4" t="e">
        <f>AND(Gagnasett!I71,"AAAAAH7/f1E=")</f>
        <v>#VALUE!</v>
      </c>
      <c r="CE4" t="e">
        <f>AND(Gagnasett!J71,"AAAAAH7/f1I=")</f>
        <v>#VALUE!</v>
      </c>
      <c r="CF4" t="e">
        <f>AND(Gagnasett!K71,"AAAAAH7/f1M=")</f>
        <v>#VALUE!</v>
      </c>
      <c r="CG4">
        <f>IF(Gagnasett!72:72,"AAAAAH7/f1Q=",0)</f>
        <v>0</v>
      </c>
      <c r="CH4" t="e">
        <f>AND(Gagnasett!A72,"AAAAAH7/f1U=")</f>
        <v>#VALUE!</v>
      </c>
      <c r="CI4" t="e">
        <f>AND(Gagnasett!B72,"AAAAAH7/f1Y=")</f>
        <v>#VALUE!</v>
      </c>
      <c r="CJ4" t="e">
        <f>AND(Gagnasett!C72,"AAAAAH7/f1c=")</f>
        <v>#VALUE!</v>
      </c>
      <c r="CK4" t="e">
        <f>AND(Gagnasett!D72,"AAAAAH7/f1g=")</f>
        <v>#VALUE!</v>
      </c>
      <c r="CL4" t="e">
        <f>AND(Gagnasett!E72,"AAAAAH7/f1k=")</f>
        <v>#VALUE!</v>
      </c>
      <c r="CM4" t="e">
        <f>AND(Gagnasett!F72,"AAAAAH7/f1o=")</f>
        <v>#VALUE!</v>
      </c>
      <c r="CN4" t="e">
        <f>AND(Gagnasett!G72,"AAAAAH7/f1s=")</f>
        <v>#VALUE!</v>
      </c>
      <c r="CO4" t="e">
        <f>AND(Gagnasett!H72,"AAAAAH7/f1w=")</f>
        <v>#VALUE!</v>
      </c>
      <c r="CP4" t="e">
        <f>AND(Gagnasett!I72,"AAAAAH7/f10=")</f>
        <v>#VALUE!</v>
      </c>
      <c r="CQ4" t="e">
        <f>AND(Gagnasett!J72,"AAAAAH7/f14=")</f>
        <v>#VALUE!</v>
      </c>
      <c r="CR4" t="e">
        <f>AND(Gagnasett!K72,"AAAAAH7/f18=")</f>
        <v>#VALUE!</v>
      </c>
      <c r="CS4">
        <f>IF(Gagnasett!73:73,"AAAAAH7/f2A=",0)</f>
        <v>0</v>
      </c>
      <c r="CT4" t="e">
        <f>AND(Gagnasett!A73,"AAAAAH7/f2E=")</f>
        <v>#VALUE!</v>
      </c>
      <c r="CU4" t="e">
        <f>AND(Gagnasett!B73,"AAAAAH7/f2I=")</f>
        <v>#VALUE!</v>
      </c>
      <c r="CV4" t="e">
        <f>AND(Gagnasett!C73,"AAAAAH7/f2M=")</f>
        <v>#VALUE!</v>
      </c>
      <c r="CW4" t="e">
        <f>AND(Gagnasett!D73,"AAAAAH7/f2Q=")</f>
        <v>#VALUE!</v>
      </c>
      <c r="CX4" t="e">
        <f>AND(Gagnasett!E73,"AAAAAH7/f2U=")</f>
        <v>#VALUE!</v>
      </c>
      <c r="CY4" t="e">
        <f>AND(Gagnasett!F73,"AAAAAH7/f2Y=")</f>
        <v>#VALUE!</v>
      </c>
      <c r="CZ4" t="e">
        <f>AND(Gagnasett!G73,"AAAAAH7/f2c=")</f>
        <v>#VALUE!</v>
      </c>
      <c r="DA4" t="e">
        <f>AND(Gagnasett!H73,"AAAAAH7/f2g=")</f>
        <v>#VALUE!</v>
      </c>
      <c r="DB4" t="e">
        <f>AND(Gagnasett!I73,"AAAAAH7/f2k=")</f>
        <v>#VALUE!</v>
      </c>
      <c r="DC4" t="e">
        <f>AND(Gagnasett!J73,"AAAAAH7/f2o=")</f>
        <v>#VALUE!</v>
      </c>
      <c r="DD4" t="e">
        <f>AND(Gagnasett!K73,"AAAAAH7/f2s=")</f>
        <v>#VALUE!</v>
      </c>
      <c r="DE4">
        <f>IF(Gagnasett!74:74,"AAAAAH7/f2w=",0)</f>
        <v>0</v>
      </c>
      <c r="DF4" t="e">
        <f>AND(Gagnasett!A74,"AAAAAH7/f20=")</f>
        <v>#VALUE!</v>
      </c>
      <c r="DG4" t="e">
        <f>AND(Gagnasett!B74,"AAAAAH7/f24=")</f>
        <v>#VALUE!</v>
      </c>
      <c r="DH4" t="e">
        <f>AND(Gagnasett!C74,"AAAAAH7/f28=")</f>
        <v>#VALUE!</v>
      </c>
      <c r="DI4" t="e">
        <f>AND(Gagnasett!D74,"AAAAAH7/f3A=")</f>
        <v>#VALUE!</v>
      </c>
      <c r="DJ4" t="e">
        <f>AND(Gagnasett!E74,"AAAAAH7/f3E=")</f>
        <v>#VALUE!</v>
      </c>
      <c r="DK4" t="e">
        <f>AND(Gagnasett!F74,"AAAAAH7/f3I=")</f>
        <v>#VALUE!</v>
      </c>
      <c r="DL4" t="e">
        <f>AND(Gagnasett!G74,"AAAAAH7/f3M=")</f>
        <v>#VALUE!</v>
      </c>
      <c r="DM4" t="e">
        <f>AND(Gagnasett!H74,"AAAAAH7/f3Q=")</f>
        <v>#VALUE!</v>
      </c>
      <c r="DN4" t="e">
        <f>AND(Gagnasett!I74,"AAAAAH7/f3U=")</f>
        <v>#VALUE!</v>
      </c>
      <c r="DO4" t="e">
        <f>AND(Gagnasett!J74,"AAAAAH7/f3Y=")</f>
        <v>#VALUE!</v>
      </c>
      <c r="DP4" t="e">
        <f>AND(Gagnasett!K74,"AAAAAH7/f3c=")</f>
        <v>#VALUE!</v>
      </c>
      <c r="DQ4">
        <f>IF(Gagnasett!75:75,"AAAAAH7/f3g=",0)</f>
        <v>0</v>
      </c>
      <c r="DR4" t="e">
        <f>AND(Gagnasett!A75,"AAAAAH7/f3k=")</f>
        <v>#VALUE!</v>
      </c>
      <c r="DS4" t="e">
        <f>AND(Gagnasett!B75,"AAAAAH7/f3o=")</f>
        <v>#VALUE!</v>
      </c>
      <c r="DT4" t="e">
        <f>AND(Gagnasett!C75,"AAAAAH7/f3s=")</f>
        <v>#VALUE!</v>
      </c>
      <c r="DU4" t="e">
        <f>AND(Gagnasett!D75,"AAAAAH7/f3w=")</f>
        <v>#VALUE!</v>
      </c>
      <c r="DV4" t="e">
        <f>AND(Gagnasett!E75,"AAAAAH7/f30=")</f>
        <v>#VALUE!</v>
      </c>
      <c r="DW4" t="e">
        <f>AND(Gagnasett!F75,"AAAAAH7/f34=")</f>
        <v>#VALUE!</v>
      </c>
      <c r="DX4" t="e">
        <f>AND(Gagnasett!G75,"AAAAAH7/f38=")</f>
        <v>#VALUE!</v>
      </c>
      <c r="DY4" t="e">
        <f>AND(Gagnasett!H75,"AAAAAH7/f4A=")</f>
        <v>#VALUE!</v>
      </c>
      <c r="DZ4" t="e">
        <f>AND(Gagnasett!I75,"AAAAAH7/f4E=")</f>
        <v>#VALUE!</v>
      </c>
      <c r="EA4" t="e">
        <f>AND(Gagnasett!J75,"AAAAAH7/f4I=")</f>
        <v>#VALUE!</v>
      </c>
      <c r="EB4" t="e">
        <f>AND(Gagnasett!K75,"AAAAAH7/f4M=")</f>
        <v>#VALUE!</v>
      </c>
      <c r="EC4">
        <f>IF(Gagnasett!76:76,"AAAAAH7/f4Q=",0)</f>
        <v>0</v>
      </c>
      <c r="ED4" t="e">
        <f>AND(Gagnasett!A76,"AAAAAH7/f4U=")</f>
        <v>#VALUE!</v>
      </c>
      <c r="EE4" t="e">
        <f>AND(Gagnasett!B76,"AAAAAH7/f4Y=")</f>
        <v>#VALUE!</v>
      </c>
      <c r="EF4" t="e">
        <f>AND(Gagnasett!C76,"AAAAAH7/f4c=")</f>
        <v>#VALUE!</v>
      </c>
      <c r="EG4" t="e">
        <f>AND(Gagnasett!D76,"AAAAAH7/f4g=")</f>
        <v>#VALUE!</v>
      </c>
      <c r="EH4" t="e">
        <f>AND(Gagnasett!E76,"AAAAAH7/f4k=")</f>
        <v>#VALUE!</v>
      </c>
      <c r="EI4" t="e">
        <f>AND(Gagnasett!F76,"AAAAAH7/f4o=")</f>
        <v>#VALUE!</v>
      </c>
      <c r="EJ4" t="e">
        <f>AND(Gagnasett!G76,"AAAAAH7/f4s=")</f>
        <v>#VALUE!</v>
      </c>
      <c r="EK4" t="e">
        <f>AND(Gagnasett!H76,"AAAAAH7/f4w=")</f>
        <v>#VALUE!</v>
      </c>
      <c r="EL4" t="e">
        <f>AND(Gagnasett!I76,"AAAAAH7/f40=")</f>
        <v>#VALUE!</v>
      </c>
      <c r="EM4" t="e">
        <f>AND(Gagnasett!J76,"AAAAAH7/f44=")</f>
        <v>#VALUE!</v>
      </c>
      <c r="EN4" t="e">
        <f>AND(Gagnasett!K76,"AAAAAH7/f48=")</f>
        <v>#VALUE!</v>
      </c>
      <c r="EO4">
        <f>IF(Gagnasett!77:77,"AAAAAH7/f5A=",0)</f>
        <v>0</v>
      </c>
      <c r="EP4" t="e">
        <f>AND(Gagnasett!A77,"AAAAAH7/f5E=")</f>
        <v>#VALUE!</v>
      </c>
      <c r="EQ4" t="e">
        <f>AND(Gagnasett!B77,"AAAAAH7/f5I=")</f>
        <v>#VALUE!</v>
      </c>
      <c r="ER4" t="e">
        <f>AND(Gagnasett!C77,"AAAAAH7/f5M=")</f>
        <v>#VALUE!</v>
      </c>
      <c r="ES4" t="e">
        <f>AND(Gagnasett!D77,"AAAAAH7/f5Q=")</f>
        <v>#VALUE!</v>
      </c>
      <c r="ET4" t="e">
        <f>AND(Gagnasett!E77,"AAAAAH7/f5U=")</f>
        <v>#VALUE!</v>
      </c>
      <c r="EU4" t="e">
        <f>AND(Gagnasett!F77,"AAAAAH7/f5Y=")</f>
        <v>#VALUE!</v>
      </c>
      <c r="EV4" t="e">
        <f>AND(Gagnasett!G77,"AAAAAH7/f5c=")</f>
        <v>#VALUE!</v>
      </c>
      <c r="EW4" t="e">
        <f>AND(Gagnasett!H77,"AAAAAH7/f5g=")</f>
        <v>#VALUE!</v>
      </c>
      <c r="EX4" t="e">
        <f>AND(Gagnasett!I77,"AAAAAH7/f5k=")</f>
        <v>#VALUE!</v>
      </c>
      <c r="EY4" t="e">
        <f>AND(Gagnasett!J77,"AAAAAH7/f5o=")</f>
        <v>#VALUE!</v>
      </c>
      <c r="EZ4" t="e">
        <f>AND(Gagnasett!K77,"AAAAAH7/f5s=")</f>
        <v>#VALUE!</v>
      </c>
      <c r="FA4">
        <f>IF(Gagnasett!78:78,"AAAAAH7/f5w=",0)</f>
        <v>0</v>
      </c>
      <c r="FB4" t="e">
        <f>AND(Gagnasett!A78,"AAAAAH7/f50=")</f>
        <v>#VALUE!</v>
      </c>
      <c r="FC4" t="e">
        <f>AND(Gagnasett!B78,"AAAAAH7/f54=")</f>
        <v>#VALUE!</v>
      </c>
      <c r="FD4" t="e">
        <f>AND(Gagnasett!C78,"AAAAAH7/f58=")</f>
        <v>#VALUE!</v>
      </c>
      <c r="FE4" t="e">
        <f>AND(Gagnasett!D78,"AAAAAH7/f6A=")</f>
        <v>#VALUE!</v>
      </c>
      <c r="FF4" t="e">
        <f>AND(Gagnasett!E78,"AAAAAH7/f6E=")</f>
        <v>#VALUE!</v>
      </c>
      <c r="FG4" t="e">
        <f>AND(Gagnasett!F78,"AAAAAH7/f6I=")</f>
        <v>#VALUE!</v>
      </c>
      <c r="FH4" t="e">
        <f>AND(Gagnasett!G78,"AAAAAH7/f6M=")</f>
        <v>#VALUE!</v>
      </c>
      <c r="FI4" t="e">
        <f>AND(Gagnasett!H78,"AAAAAH7/f6Q=")</f>
        <v>#VALUE!</v>
      </c>
      <c r="FJ4" t="e">
        <f>AND(Gagnasett!I78,"AAAAAH7/f6U=")</f>
        <v>#VALUE!</v>
      </c>
      <c r="FK4" t="e">
        <f>AND(Gagnasett!J78,"AAAAAH7/f6Y=")</f>
        <v>#VALUE!</v>
      </c>
      <c r="FL4" t="e">
        <f>AND(Gagnasett!K78,"AAAAAH7/f6c=")</f>
        <v>#VALUE!</v>
      </c>
      <c r="FM4">
        <f>IF(Gagnasett!79:79,"AAAAAH7/f6g=",0)</f>
        <v>0</v>
      </c>
      <c r="FN4" t="e">
        <f>AND(Gagnasett!A79,"AAAAAH7/f6k=")</f>
        <v>#VALUE!</v>
      </c>
      <c r="FO4" t="e">
        <f>AND(Gagnasett!B79,"AAAAAH7/f6o=")</f>
        <v>#VALUE!</v>
      </c>
      <c r="FP4" t="e">
        <f>AND(Gagnasett!C79,"AAAAAH7/f6s=")</f>
        <v>#VALUE!</v>
      </c>
      <c r="FQ4" t="e">
        <f>AND(Gagnasett!D79,"AAAAAH7/f6w=")</f>
        <v>#VALUE!</v>
      </c>
      <c r="FR4" t="e">
        <f>AND(Gagnasett!E79,"AAAAAH7/f60=")</f>
        <v>#VALUE!</v>
      </c>
      <c r="FS4" t="e">
        <f>AND(Gagnasett!F79,"AAAAAH7/f64=")</f>
        <v>#VALUE!</v>
      </c>
      <c r="FT4" t="e">
        <f>AND(Gagnasett!G79,"AAAAAH7/f68=")</f>
        <v>#VALUE!</v>
      </c>
      <c r="FU4" t="e">
        <f>AND(Gagnasett!H79,"AAAAAH7/f7A=")</f>
        <v>#VALUE!</v>
      </c>
      <c r="FV4" t="e">
        <f>AND(Gagnasett!I79,"AAAAAH7/f7E=")</f>
        <v>#VALUE!</v>
      </c>
      <c r="FW4" t="e">
        <f>AND(Gagnasett!J79,"AAAAAH7/f7I=")</f>
        <v>#VALUE!</v>
      </c>
      <c r="FX4" t="e">
        <f>AND(Gagnasett!K79,"AAAAAH7/f7M=")</f>
        <v>#VALUE!</v>
      </c>
      <c r="FY4">
        <f>IF(Gagnasett!80:80,"AAAAAH7/f7Q=",0)</f>
        <v>0</v>
      </c>
      <c r="FZ4" t="e">
        <f>AND(Gagnasett!A80,"AAAAAH7/f7U=")</f>
        <v>#VALUE!</v>
      </c>
      <c r="GA4" t="e">
        <f>AND(Gagnasett!B80,"AAAAAH7/f7Y=")</f>
        <v>#VALUE!</v>
      </c>
      <c r="GB4" t="e">
        <f>AND(Gagnasett!C80,"AAAAAH7/f7c=")</f>
        <v>#VALUE!</v>
      </c>
      <c r="GC4" t="e">
        <f>AND(Gagnasett!D80,"AAAAAH7/f7g=")</f>
        <v>#VALUE!</v>
      </c>
      <c r="GD4" t="e">
        <f>AND(Gagnasett!E80,"AAAAAH7/f7k=")</f>
        <v>#VALUE!</v>
      </c>
      <c r="GE4" t="e">
        <f>AND(Gagnasett!F80,"AAAAAH7/f7o=")</f>
        <v>#VALUE!</v>
      </c>
      <c r="GF4" t="e">
        <f>AND(Gagnasett!G80,"AAAAAH7/f7s=")</f>
        <v>#VALUE!</v>
      </c>
      <c r="GG4" t="e">
        <f>AND(Gagnasett!H80,"AAAAAH7/f7w=")</f>
        <v>#VALUE!</v>
      </c>
      <c r="GH4" t="e">
        <f>AND(Gagnasett!I80,"AAAAAH7/f70=")</f>
        <v>#VALUE!</v>
      </c>
      <c r="GI4" t="e">
        <f>AND(Gagnasett!J80,"AAAAAH7/f74=")</f>
        <v>#VALUE!</v>
      </c>
      <c r="GJ4" t="e">
        <f>AND(Gagnasett!K80,"AAAAAH7/f78=")</f>
        <v>#VALUE!</v>
      </c>
      <c r="GK4">
        <f>IF(Gagnasett!81:81,"AAAAAH7/f8A=",0)</f>
        <v>0</v>
      </c>
      <c r="GL4" t="e">
        <f>AND(Gagnasett!A81,"AAAAAH7/f8E=")</f>
        <v>#VALUE!</v>
      </c>
      <c r="GM4" t="e">
        <f>AND(Gagnasett!B81,"AAAAAH7/f8I=")</f>
        <v>#VALUE!</v>
      </c>
      <c r="GN4" t="e">
        <f>AND(Gagnasett!C81,"AAAAAH7/f8M=")</f>
        <v>#VALUE!</v>
      </c>
      <c r="GO4" t="e">
        <f>AND(Gagnasett!D81,"AAAAAH7/f8Q=")</f>
        <v>#VALUE!</v>
      </c>
      <c r="GP4" t="e">
        <f>AND(Gagnasett!E81,"AAAAAH7/f8U=")</f>
        <v>#VALUE!</v>
      </c>
      <c r="GQ4" t="e">
        <f>AND(Gagnasett!F81,"AAAAAH7/f8Y=")</f>
        <v>#VALUE!</v>
      </c>
      <c r="GR4" t="e">
        <f>AND(Gagnasett!G81,"AAAAAH7/f8c=")</f>
        <v>#VALUE!</v>
      </c>
      <c r="GS4" t="e">
        <f>AND(Gagnasett!H81,"AAAAAH7/f8g=")</f>
        <v>#VALUE!</v>
      </c>
      <c r="GT4" t="e">
        <f>AND(Gagnasett!I81,"AAAAAH7/f8k=")</f>
        <v>#VALUE!</v>
      </c>
      <c r="GU4" t="e">
        <f>AND(Gagnasett!J81,"AAAAAH7/f8o=")</f>
        <v>#VALUE!</v>
      </c>
      <c r="GV4" t="e">
        <f>AND(Gagnasett!K81,"AAAAAH7/f8s=")</f>
        <v>#VALUE!</v>
      </c>
      <c r="GW4">
        <f>IF(Gagnasett!82:82,"AAAAAH7/f8w=",0)</f>
        <v>0</v>
      </c>
      <c r="GX4" t="e">
        <f>AND(Gagnasett!A82,"AAAAAH7/f80=")</f>
        <v>#VALUE!</v>
      </c>
      <c r="GY4" t="e">
        <f>AND(Gagnasett!B82,"AAAAAH7/f84=")</f>
        <v>#VALUE!</v>
      </c>
      <c r="GZ4" t="e">
        <f>AND(Gagnasett!C82,"AAAAAH7/f88=")</f>
        <v>#VALUE!</v>
      </c>
      <c r="HA4" t="e">
        <f>AND(Gagnasett!D82,"AAAAAH7/f9A=")</f>
        <v>#VALUE!</v>
      </c>
      <c r="HB4" t="e">
        <f>AND(Gagnasett!E82,"AAAAAH7/f9E=")</f>
        <v>#VALUE!</v>
      </c>
      <c r="HC4" t="e">
        <f>AND(Gagnasett!F82,"AAAAAH7/f9I=")</f>
        <v>#VALUE!</v>
      </c>
      <c r="HD4" t="e">
        <f>AND(Gagnasett!G82,"AAAAAH7/f9M=")</f>
        <v>#VALUE!</v>
      </c>
      <c r="HE4" t="e">
        <f>AND(Gagnasett!H82,"AAAAAH7/f9Q=")</f>
        <v>#VALUE!</v>
      </c>
      <c r="HF4" t="e">
        <f>AND(Gagnasett!I82,"AAAAAH7/f9U=")</f>
        <v>#VALUE!</v>
      </c>
      <c r="HG4" t="e">
        <f>AND(Gagnasett!J82,"AAAAAH7/f9Y=")</f>
        <v>#VALUE!</v>
      </c>
      <c r="HH4" t="e">
        <f>AND(Gagnasett!K82,"AAAAAH7/f9c=")</f>
        <v>#VALUE!</v>
      </c>
      <c r="HI4">
        <f>IF(Gagnasett!83:83,"AAAAAH7/f9g=",0)</f>
        <v>0</v>
      </c>
      <c r="HJ4" t="e">
        <f>AND(Gagnasett!A83,"AAAAAH7/f9k=")</f>
        <v>#VALUE!</v>
      </c>
      <c r="HK4" t="e">
        <f>AND(Gagnasett!B83,"AAAAAH7/f9o=")</f>
        <v>#VALUE!</v>
      </c>
      <c r="HL4" t="e">
        <f>AND(Gagnasett!C83,"AAAAAH7/f9s=")</f>
        <v>#VALUE!</v>
      </c>
      <c r="HM4" t="e">
        <f>AND(Gagnasett!D83,"AAAAAH7/f9w=")</f>
        <v>#VALUE!</v>
      </c>
      <c r="HN4" t="e">
        <f>AND(Gagnasett!E83,"AAAAAH7/f90=")</f>
        <v>#VALUE!</v>
      </c>
      <c r="HO4" t="e">
        <f>AND(Gagnasett!F83,"AAAAAH7/f94=")</f>
        <v>#VALUE!</v>
      </c>
      <c r="HP4" t="e">
        <f>AND(Gagnasett!G83,"AAAAAH7/f98=")</f>
        <v>#VALUE!</v>
      </c>
      <c r="HQ4" t="e">
        <f>AND(Gagnasett!H83,"AAAAAH7/f+A=")</f>
        <v>#VALUE!</v>
      </c>
      <c r="HR4" t="e">
        <f>AND(Gagnasett!I83,"AAAAAH7/f+E=")</f>
        <v>#VALUE!</v>
      </c>
      <c r="HS4" t="e">
        <f>AND(Gagnasett!J83,"AAAAAH7/f+I=")</f>
        <v>#VALUE!</v>
      </c>
      <c r="HT4" t="e">
        <f>AND(Gagnasett!K83,"AAAAAH7/f+M=")</f>
        <v>#VALUE!</v>
      </c>
      <c r="HU4">
        <f>IF(Gagnasett!84:84,"AAAAAH7/f+Q=",0)</f>
        <v>0</v>
      </c>
      <c r="HV4" t="e">
        <f>AND(Gagnasett!A84,"AAAAAH7/f+U=")</f>
        <v>#VALUE!</v>
      </c>
      <c r="HW4" t="e">
        <f>AND(Gagnasett!B84,"AAAAAH7/f+Y=")</f>
        <v>#VALUE!</v>
      </c>
      <c r="HX4" t="e">
        <f>AND(Gagnasett!C84,"AAAAAH7/f+c=")</f>
        <v>#VALUE!</v>
      </c>
      <c r="HY4" t="e">
        <f>AND(Gagnasett!D84,"AAAAAH7/f+g=")</f>
        <v>#VALUE!</v>
      </c>
      <c r="HZ4" t="e">
        <f>AND(Gagnasett!E84,"AAAAAH7/f+k=")</f>
        <v>#VALUE!</v>
      </c>
      <c r="IA4" t="e">
        <f>AND(Gagnasett!F84,"AAAAAH7/f+o=")</f>
        <v>#VALUE!</v>
      </c>
      <c r="IB4" t="e">
        <f>AND(Gagnasett!G84,"AAAAAH7/f+s=")</f>
        <v>#VALUE!</v>
      </c>
      <c r="IC4" t="e">
        <f>AND(Gagnasett!H84,"AAAAAH7/f+w=")</f>
        <v>#VALUE!</v>
      </c>
      <c r="ID4" t="e">
        <f>AND(Gagnasett!I84,"AAAAAH7/f+0=")</f>
        <v>#VALUE!</v>
      </c>
      <c r="IE4" t="e">
        <f>AND(Gagnasett!J84,"AAAAAH7/f+4=")</f>
        <v>#VALUE!</v>
      </c>
      <c r="IF4" t="e">
        <f>AND(Gagnasett!K84,"AAAAAH7/f+8=")</f>
        <v>#VALUE!</v>
      </c>
      <c r="IG4">
        <f>IF(Gagnasett!85:85,"AAAAAH7/f/A=",0)</f>
        <v>0</v>
      </c>
      <c r="IH4" t="e">
        <f>AND(Gagnasett!A85,"AAAAAH7/f/E=")</f>
        <v>#VALUE!</v>
      </c>
      <c r="II4" t="e">
        <f>AND(Gagnasett!B85,"AAAAAH7/f/I=")</f>
        <v>#VALUE!</v>
      </c>
      <c r="IJ4" t="e">
        <f>AND(Gagnasett!C85,"AAAAAH7/f/M=")</f>
        <v>#VALUE!</v>
      </c>
      <c r="IK4" t="e">
        <f>AND(Gagnasett!D85,"AAAAAH7/f/Q=")</f>
        <v>#VALUE!</v>
      </c>
      <c r="IL4" t="e">
        <f>AND(Gagnasett!E85,"AAAAAH7/f/U=")</f>
        <v>#VALUE!</v>
      </c>
      <c r="IM4" t="e">
        <f>AND(Gagnasett!F85,"AAAAAH7/f/Y=")</f>
        <v>#VALUE!</v>
      </c>
      <c r="IN4" t="e">
        <f>AND(Gagnasett!G85,"AAAAAH7/f/c=")</f>
        <v>#VALUE!</v>
      </c>
      <c r="IO4" t="e">
        <f>AND(Gagnasett!H85,"AAAAAH7/f/g=")</f>
        <v>#VALUE!</v>
      </c>
      <c r="IP4" t="e">
        <f>AND(Gagnasett!I85,"AAAAAH7/f/k=")</f>
        <v>#VALUE!</v>
      </c>
      <c r="IQ4" t="e">
        <f>AND(Gagnasett!J85,"AAAAAH7/f/o=")</f>
        <v>#VALUE!</v>
      </c>
      <c r="IR4" t="e">
        <f>AND(Gagnasett!K85,"AAAAAH7/f/s=")</f>
        <v>#VALUE!</v>
      </c>
      <c r="IS4">
        <f>IF(Gagnasett!86:86,"AAAAAH7/f/w=",0)</f>
        <v>0</v>
      </c>
      <c r="IT4" t="e">
        <f>AND(Gagnasett!A86,"AAAAAH7/f/0=")</f>
        <v>#VALUE!</v>
      </c>
      <c r="IU4" t="e">
        <f>AND(Gagnasett!B86,"AAAAAH7/f/4=")</f>
        <v>#VALUE!</v>
      </c>
      <c r="IV4" t="e">
        <f>AND(Gagnasett!C86,"AAAAAH7/f/8=")</f>
        <v>#VALUE!</v>
      </c>
    </row>
    <row r="5" spans="1:256" x14ac:dyDescent="0.3">
      <c r="A5" t="e">
        <f>AND(Gagnasett!D86,"AAAAAFa/7wA=")</f>
        <v>#VALUE!</v>
      </c>
      <c r="B5" t="e">
        <f>AND(Gagnasett!E86,"AAAAAFa/7wE=")</f>
        <v>#VALUE!</v>
      </c>
      <c r="C5" t="e">
        <f>AND(Gagnasett!F86,"AAAAAFa/7wI=")</f>
        <v>#VALUE!</v>
      </c>
      <c r="D5" t="e">
        <f>AND(Gagnasett!G86,"AAAAAFa/7wM=")</f>
        <v>#VALUE!</v>
      </c>
      <c r="E5" t="e">
        <f>AND(Gagnasett!H86,"AAAAAFa/7wQ=")</f>
        <v>#VALUE!</v>
      </c>
      <c r="F5" t="e">
        <f>AND(Gagnasett!I86,"AAAAAFa/7wU=")</f>
        <v>#VALUE!</v>
      </c>
      <c r="G5" t="e">
        <f>AND(Gagnasett!J86,"AAAAAFa/7wY=")</f>
        <v>#VALUE!</v>
      </c>
      <c r="H5" t="e">
        <f>AND(Gagnasett!K86,"AAAAAFa/7wc=")</f>
        <v>#VALUE!</v>
      </c>
      <c r="I5" t="e">
        <f>IF(Gagnasett!87:87,"AAAAAFa/7wg=",0)</f>
        <v>#VALUE!</v>
      </c>
      <c r="J5" t="e">
        <f>AND(Gagnasett!A87,"AAAAAFa/7wk=")</f>
        <v>#VALUE!</v>
      </c>
      <c r="K5" t="e">
        <f>AND(Gagnasett!B87,"AAAAAFa/7wo=")</f>
        <v>#VALUE!</v>
      </c>
      <c r="L5" t="e">
        <f>AND(Gagnasett!C87,"AAAAAFa/7ws=")</f>
        <v>#VALUE!</v>
      </c>
      <c r="M5" t="e">
        <f>AND(Gagnasett!D87,"AAAAAFa/7ww=")</f>
        <v>#VALUE!</v>
      </c>
      <c r="N5" t="e">
        <f>AND(Gagnasett!E87,"AAAAAFa/7w0=")</f>
        <v>#VALUE!</v>
      </c>
      <c r="O5" t="e">
        <f>AND(Gagnasett!F87,"AAAAAFa/7w4=")</f>
        <v>#VALUE!</v>
      </c>
      <c r="P5" t="e">
        <f>AND(Gagnasett!G87,"AAAAAFa/7w8=")</f>
        <v>#VALUE!</v>
      </c>
      <c r="Q5" t="e">
        <f>AND(Gagnasett!H87,"AAAAAFa/7xA=")</f>
        <v>#VALUE!</v>
      </c>
      <c r="R5" t="e">
        <f>AND(Gagnasett!I87,"AAAAAFa/7xE=")</f>
        <v>#VALUE!</v>
      </c>
      <c r="S5" t="e">
        <f>AND(Gagnasett!J87,"AAAAAFa/7xI=")</f>
        <v>#VALUE!</v>
      </c>
      <c r="T5" t="e">
        <f>AND(Gagnasett!K87,"AAAAAFa/7xM=")</f>
        <v>#VALUE!</v>
      </c>
      <c r="U5">
        <f>IF(Gagnasett!88:88,"AAAAAFa/7xQ=",0)</f>
        <v>0</v>
      </c>
      <c r="V5" t="e">
        <f>AND(Gagnasett!A88,"AAAAAFa/7xU=")</f>
        <v>#VALUE!</v>
      </c>
      <c r="W5" t="e">
        <f>AND(Gagnasett!B88,"AAAAAFa/7xY=")</f>
        <v>#VALUE!</v>
      </c>
      <c r="X5" t="e">
        <f>AND(Gagnasett!C88,"AAAAAFa/7xc=")</f>
        <v>#VALUE!</v>
      </c>
      <c r="Y5" t="e">
        <f>AND(Gagnasett!D88,"AAAAAFa/7xg=")</f>
        <v>#VALUE!</v>
      </c>
      <c r="Z5" t="e">
        <f>AND(Gagnasett!E88,"AAAAAFa/7xk=")</f>
        <v>#VALUE!</v>
      </c>
      <c r="AA5" t="e">
        <f>AND(Gagnasett!F88,"AAAAAFa/7xo=")</f>
        <v>#VALUE!</v>
      </c>
      <c r="AB5" t="e">
        <f>AND(Gagnasett!G88,"AAAAAFa/7xs=")</f>
        <v>#VALUE!</v>
      </c>
      <c r="AC5" t="e">
        <f>AND(Gagnasett!H88,"AAAAAFa/7xw=")</f>
        <v>#VALUE!</v>
      </c>
      <c r="AD5" t="e">
        <f>AND(Gagnasett!I88,"AAAAAFa/7x0=")</f>
        <v>#VALUE!</v>
      </c>
      <c r="AE5" t="e">
        <f>AND(Gagnasett!J88,"AAAAAFa/7x4=")</f>
        <v>#VALUE!</v>
      </c>
      <c r="AF5" t="e">
        <f>AND(Gagnasett!K88,"AAAAAFa/7x8=")</f>
        <v>#VALUE!</v>
      </c>
      <c r="AG5">
        <f>IF(Gagnasett!89:89,"AAAAAFa/7yA=",0)</f>
        <v>0</v>
      </c>
      <c r="AH5" t="e">
        <f>AND(Gagnasett!A89,"AAAAAFa/7yE=")</f>
        <v>#VALUE!</v>
      </c>
      <c r="AI5" t="e">
        <f>AND(Gagnasett!B89,"AAAAAFa/7yI=")</f>
        <v>#VALUE!</v>
      </c>
      <c r="AJ5" t="e">
        <f>AND(Gagnasett!C89,"AAAAAFa/7yM=")</f>
        <v>#VALUE!</v>
      </c>
      <c r="AK5" t="e">
        <f>AND(Gagnasett!D89,"AAAAAFa/7yQ=")</f>
        <v>#VALUE!</v>
      </c>
      <c r="AL5" t="e">
        <f>AND(Gagnasett!E89,"AAAAAFa/7yU=")</f>
        <v>#VALUE!</v>
      </c>
      <c r="AM5" t="e">
        <f>AND(Gagnasett!F89,"AAAAAFa/7yY=")</f>
        <v>#VALUE!</v>
      </c>
      <c r="AN5" t="e">
        <f>AND(Gagnasett!G89,"AAAAAFa/7yc=")</f>
        <v>#VALUE!</v>
      </c>
      <c r="AO5" t="e">
        <f>AND(Gagnasett!H89,"AAAAAFa/7yg=")</f>
        <v>#VALUE!</v>
      </c>
      <c r="AP5" t="e">
        <f>AND(Gagnasett!I89,"AAAAAFa/7yk=")</f>
        <v>#VALUE!</v>
      </c>
      <c r="AQ5" t="e">
        <f>AND(Gagnasett!J89,"AAAAAFa/7yo=")</f>
        <v>#VALUE!</v>
      </c>
      <c r="AR5" t="e">
        <f>AND(Gagnasett!K89,"AAAAAFa/7ys=")</f>
        <v>#VALUE!</v>
      </c>
      <c r="AS5">
        <f>IF(Gagnasett!90:90,"AAAAAFa/7yw=",0)</f>
        <v>0</v>
      </c>
      <c r="AT5" t="e">
        <f>AND(Gagnasett!A90,"AAAAAFa/7y0=")</f>
        <v>#VALUE!</v>
      </c>
      <c r="AU5" t="e">
        <f>AND(Gagnasett!B90,"AAAAAFa/7y4=")</f>
        <v>#VALUE!</v>
      </c>
      <c r="AV5" t="e">
        <f>AND(Gagnasett!C90,"AAAAAFa/7y8=")</f>
        <v>#VALUE!</v>
      </c>
      <c r="AW5" t="e">
        <f>AND(Gagnasett!D90,"AAAAAFa/7zA=")</f>
        <v>#VALUE!</v>
      </c>
      <c r="AX5" t="e">
        <f>AND(Gagnasett!E90,"AAAAAFa/7zE=")</f>
        <v>#VALUE!</v>
      </c>
      <c r="AY5" t="e">
        <f>AND(Gagnasett!F90,"AAAAAFa/7zI=")</f>
        <v>#VALUE!</v>
      </c>
      <c r="AZ5" t="e">
        <f>AND(Gagnasett!G90,"AAAAAFa/7zM=")</f>
        <v>#VALUE!</v>
      </c>
      <c r="BA5" t="e">
        <f>AND(Gagnasett!H90,"AAAAAFa/7zQ=")</f>
        <v>#VALUE!</v>
      </c>
      <c r="BB5" t="e">
        <f>AND(Gagnasett!I90,"AAAAAFa/7zU=")</f>
        <v>#VALUE!</v>
      </c>
      <c r="BC5" t="e">
        <f>AND(Gagnasett!J90,"AAAAAFa/7zY=")</f>
        <v>#VALUE!</v>
      </c>
      <c r="BD5" t="e">
        <f>AND(Gagnasett!K90,"AAAAAFa/7zc=")</f>
        <v>#VALUE!</v>
      </c>
      <c r="BE5">
        <f>IF(Gagnasett!91:91,"AAAAAFa/7zg=",0)</f>
        <v>0</v>
      </c>
      <c r="BF5" t="e">
        <f>AND(Gagnasett!A91,"AAAAAFa/7zk=")</f>
        <v>#VALUE!</v>
      </c>
      <c r="BG5" t="e">
        <f>AND(Gagnasett!B91,"AAAAAFa/7zo=")</f>
        <v>#VALUE!</v>
      </c>
      <c r="BH5" t="e">
        <f>AND(Gagnasett!C91,"AAAAAFa/7zs=")</f>
        <v>#VALUE!</v>
      </c>
      <c r="BI5" t="e">
        <f>AND(Gagnasett!D91,"AAAAAFa/7zw=")</f>
        <v>#VALUE!</v>
      </c>
      <c r="BJ5" t="e">
        <f>AND(Gagnasett!E91,"AAAAAFa/7z0=")</f>
        <v>#VALUE!</v>
      </c>
      <c r="BK5" t="e">
        <f>AND(Gagnasett!F91,"AAAAAFa/7z4=")</f>
        <v>#VALUE!</v>
      </c>
      <c r="BL5" t="e">
        <f>AND(Gagnasett!G91,"AAAAAFa/7z8=")</f>
        <v>#VALUE!</v>
      </c>
      <c r="BM5" t="e">
        <f>AND(Gagnasett!H91,"AAAAAFa/70A=")</f>
        <v>#VALUE!</v>
      </c>
      <c r="BN5" t="e">
        <f>AND(Gagnasett!I91,"AAAAAFa/70E=")</f>
        <v>#VALUE!</v>
      </c>
      <c r="BO5" t="e">
        <f>AND(Gagnasett!J91,"AAAAAFa/70I=")</f>
        <v>#VALUE!</v>
      </c>
      <c r="BP5" t="e">
        <f>AND(Gagnasett!K91,"AAAAAFa/70M=")</f>
        <v>#VALUE!</v>
      </c>
      <c r="BQ5">
        <f>IF(Gagnasett!92:92,"AAAAAFa/70Q=",0)</f>
        <v>0</v>
      </c>
      <c r="BR5" t="e">
        <f>AND(Gagnasett!A92,"AAAAAFa/70U=")</f>
        <v>#VALUE!</v>
      </c>
      <c r="BS5" t="e">
        <f>AND(Gagnasett!B92,"AAAAAFa/70Y=")</f>
        <v>#VALUE!</v>
      </c>
      <c r="BT5" t="e">
        <f>AND(Gagnasett!C92,"AAAAAFa/70c=")</f>
        <v>#VALUE!</v>
      </c>
      <c r="BU5" t="e">
        <f>AND(Gagnasett!D92,"AAAAAFa/70g=")</f>
        <v>#VALUE!</v>
      </c>
      <c r="BV5" t="e">
        <f>AND(Gagnasett!E92,"AAAAAFa/70k=")</f>
        <v>#VALUE!</v>
      </c>
      <c r="BW5" t="e">
        <f>AND(Gagnasett!F92,"AAAAAFa/70o=")</f>
        <v>#VALUE!</v>
      </c>
      <c r="BX5" t="e">
        <f>AND(Gagnasett!G92,"AAAAAFa/70s=")</f>
        <v>#VALUE!</v>
      </c>
      <c r="BY5" t="e">
        <f>AND(Gagnasett!H92,"AAAAAFa/70w=")</f>
        <v>#VALUE!</v>
      </c>
      <c r="BZ5" t="e">
        <f>AND(Gagnasett!I92,"AAAAAFa/700=")</f>
        <v>#VALUE!</v>
      </c>
      <c r="CA5" t="e">
        <f>AND(Gagnasett!J92,"AAAAAFa/704=")</f>
        <v>#VALUE!</v>
      </c>
      <c r="CB5" t="e">
        <f>AND(Gagnasett!K92,"AAAAAFa/708=")</f>
        <v>#VALUE!</v>
      </c>
      <c r="CC5">
        <f>IF(Gagnasett!93:93,"AAAAAFa/71A=",0)</f>
        <v>0</v>
      </c>
      <c r="CD5" t="e">
        <f>AND(Gagnasett!A93,"AAAAAFa/71E=")</f>
        <v>#VALUE!</v>
      </c>
      <c r="CE5" t="e">
        <f>AND(Gagnasett!B93,"AAAAAFa/71I=")</f>
        <v>#VALUE!</v>
      </c>
      <c r="CF5" t="e">
        <f>AND(Gagnasett!C93,"AAAAAFa/71M=")</f>
        <v>#VALUE!</v>
      </c>
      <c r="CG5" t="e">
        <f>AND(Gagnasett!D93,"AAAAAFa/71Q=")</f>
        <v>#VALUE!</v>
      </c>
      <c r="CH5" t="e">
        <f>AND(Gagnasett!E93,"AAAAAFa/71U=")</f>
        <v>#VALUE!</v>
      </c>
      <c r="CI5" t="e">
        <f>AND(Gagnasett!F93,"AAAAAFa/71Y=")</f>
        <v>#VALUE!</v>
      </c>
      <c r="CJ5" t="e">
        <f>AND(Gagnasett!G93,"AAAAAFa/71c=")</f>
        <v>#VALUE!</v>
      </c>
      <c r="CK5" t="e">
        <f>AND(Gagnasett!H93,"AAAAAFa/71g=")</f>
        <v>#VALUE!</v>
      </c>
      <c r="CL5" t="e">
        <f>AND(Gagnasett!I93,"AAAAAFa/71k=")</f>
        <v>#VALUE!</v>
      </c>
      <c r="CM5" t="e">
        <f>AND(Gagnasett!J93,"AAAAAFa/71o=")</f>
        <v>#VALUE!</v>
      </c>
      <c r="CN5" t="e">
        <f>AND(Gagnasett!K93,"AAAAAFa/71s=")</f>
        <v>#VALUE!</v>
      </c>
      <c r="CO5">
        <f>IF(Gagnasett!94:94,"AAAAAFa/71w=",0)</f>
        <v>0</v>
      </c>
      <c r="CP5" t="e">
        <f>AND(Gagnasett!A94,"AAAAAFa/710=")</f>
        <v>#VALUE!</v>
      </c>
      <c r="CQ5" t="e">
        <f>AND(Gagnasett!B94,"AAAAAFa/714=")</f>
        <v>#VALUE!</v>
      </c>
      <c r="CR5" t="e">
        <f>AND(Gagnasett!C94,"AAAAAFa/718=")</f>
        <v>#VALUE!</v>
      </c>
      <c r="CS5" t="e">
        <f>AND(Gagnasett!D94,"AAAAAFa/72A=")</f>
        <v>#VALUE!</v>
      </c>
      <c r="CT5" t="e">
        <f>AND(Gagnasett!E94,"AAAAAFa/72E=")</f>
        <v>#VALUE!</v>
      </c>
      <c r="CU5" t="e">
        <f>AND(Gagnasett!F94,"AAAAAFa/72I=")</f>
        <v>#VALUE!</v>
      </c>
      <c r="CV5" t="e">
        <f>AND(Gagnasett!G94,"AAAAAFa/72M=")</f>
        <v>#VALUE!</v>
      </c>
      <c r="CW5" t="e">
        <f>AND(Gagnasett!H94,"AAAAAFa/72Q=")</f>
        <v>#VALUE!</v>
      </c>
      <c r="CX5" t="e">
        <f>AND(Gagnasett!I94,"AAAAAFa/72U=")</f>
        <v>#VALUE!</v>
      </c>
      <c r="CY5" t="e">
        <f>AND(Gagnasett!J94,"AAAAAFa/72Y=")</f>
        <v>#VALUE!</v>
      </c>
      <c r="CZ5" t="e">
        <f>AND(Gagnasett!K94,"AAAAAFa/72c=")</f>
        <v>#VALUE!</v>
      </c>
      <c r="DA5">
        <f>IF(Gagnasett!95:95,"AAAAAFa/72g=",0)</f>
        <v>0</v>
      </c>
      <c r="DB5" t="e">
        <f>AND(Gagnasett!A95,"AAAAAFa/72k=")</f>
        <v>#VALUE!</v>
      </c>
      <c r="DC5" t="e">
        <f>AND(Gagnasett!B95,"AAAAAFa/72o=")</f>
        <v>#VALUE!</v>
      </c>
      <c r="DD5" t="e">
        <f>AND(Gagnasett!C95,"AAAAAFa/72s=")</f>
        <v>#VALUE!</v>
      </c>
      <c r="DE5" t="e">
        <f>AND(Gagnasett!D95,"AAAAAFa/72w=")</f>
        <v>#VALUE!</v>
      </c>
      <c r="DF5" t="e">
        <f>AND(Gagnasett!E95,"AAAAAFa/720=")</f>
        <v>#VALUE!</v>
      </c>
      <c r="DG5" t="e">
        <f>AND(Gagnasett!F95,"AAAAAFa/724=")</f>
        <v>#VALUE!</v>
      </c>
      <c r="DH5" t="e">
        <f>AND(Gagnasett!G95,"AAAAAFa/728=")</f>
        <v>#VALUE!</v>
      </c>
      <c r="DI5" t="e">
        <f>AND(Gagnasett!H95,"AAAAAFa/73A=")</f>
        <v>#VALUE!</v>
      </c>
      <c r="DJ5" t="e">
        <f>AND(Gagnasett!I95,"AAAAAFa/73E=")</f>
        <v>#VALUE!</v>
      </c>
      <c r="DK5" t="e">
        <f>AND(Gagnasett!J95,"AAAAAFa/73I=")</f>
        <v>#VALUE!</v>
      </c>
      <c r="DL5" t="e">
        <f>AND(Gagnasett!K95,"AAAAAFa/73M=")</f>
        <v>#VALUE!</v>
      </c>
      <c r="DM5">
        <f>IF(Gagnasett!96:96,"AAAAAFa/73Q=",0)</f>
        <v>0</v>
      </c>
      <c r="DN5" t="e">
        <f>AND(Gagnasett!A96,"AAAAAFa/73U=")</f>
        <v>#VALUE!</v>
      </c>
      <c r="DO5" t="e">
        <f>AND(Gagnasett!B96,"AAAAAFa/73Y=")</f>
        <v>#VALUE!</v>
      </c>
      <c r="DP5" t="e">
        <f>AND(Gagnasett!C96,"AAAAAFa/73c=")</f>
        <v>#VALUE!</v>
      </c>
      <c r="DQ5" t="e">
        <f>AND(Gagnasett!D96,"AAAAAFa/73g=")</f>
        <v>#VALUE!</v>
      </c>
      <c r="DR5" t="e">
        <f>AND(Gagnasett!E96,"AAAAAFa/73k=")</f>
        <v>#VALUE!</v>
      </c>
      <c r="DS5" t="e">
        <f>AND(Gagnasett!F96,"AAAAAFa/73o=")</f>
        <v>#VALUE!</v>
      </c>
      <c r="DT5" t="e">
        <f>AND(Gagnasett!G96,"AAAAAFa/73s=")</f>
        <v>#VALUE!</v>
      </c>
      <c r="DU5" t="e">
        <f>AND(Gagnasett!H96,"AAAAAFa/73w=")</f>
        <v>#VALUE!</v>
      </c>
      <c r="DV5" t="e">
        <f>AND(Gagnasett!I96,"AAAAAFa/730=")</f>
        <v>#VALUE!</v>
      </c>
      <c r="DW5" t="e">
        <f>AND(Gagnasett!J96,"AAAAAFa/734=")</f>
        <v>#VALUE!</v>
      </c>
      <c r="DX5" t="e">
        <f>AND(Gagnasett!K96,"AAAAAFa/738=")</f>
        <v>#VALUE!</v>
      </c>
      <c r="DY5">
        <f>IF(Gagnasett!97:97,"AAAAAFa/74A=",0)</f>
        <v>0</v>
      </c>
      <c r="DZ5" t="e">
        <f>AND(Gagnasett!A97,"AAAAAFa/74E=")</f>
        <v>#VALUE!</v>
      </c>
      <c r="EA5" t="e">
        <f>AND(Gagnasett!B97,"AAAAAFa/74I=")</f>
        <v>#VALUE!</v>
      </c>
      <c r="EB5" t="e">
        <f>AND(Gagnasett!C97,"AAAAAFa/74M=")</f>
        <v>#VALUE!</v>
      </c>
      <c r="EC5" t="e">
        <f>AND(Gagnasett!D97,"AAAAAFa/74Q=")</f>
        <v>#VALUE!</v>
      </c>
      <c r="ED5" t="e">
        <f>AND(Gagnasett!E97,"AAAAAFa/74U=")</f>
        <v>#VALUE!</v>
      </c>
      <c r="EE5" t="e">
        <f>AND(Gagnasett!F97,"AAAAAFa/74Y=")</f>
        <v>#VALUE!</v>
      </c>
      <c r="EF5" t="e">
        <f>AND(Gagnasett!G97,"AAAAAFa/74c=")</f>
        <v>#VALUE!</v>
      </c>
      <c r="EG5" t="e">
        <f>AND(Gagnasett!H97,"AAAAAFa/74g=")</f>
        <v>#VALUE!</v>
      </c>
      <c r="EH5" t="e">
        <f>AND(Gagnasett!I97,"AAAAAFa/74k=")</f>
        <v>#VALUE!</v>
      </c>
      <c r="EI5" t="e">
        <f>AND(Gagnasett!J97,"AAAAAFa/74o=")</f>
        <v>#VALUE!</v>
      </c>
      <c r="EJ5" t="e">
        <f>AND(Gagnasett!K97,"AAAAAFa/74s=")</f>
        <v>#VALUE!</v>
      </c>
      <c r="EK5">
        <f>IF(Gagnasett!98:98,"AAAAAFa/74w=",0)</f>
        <v>0</v>
      </c>
      <c r="EL5" t="e">
        <f>AND(Gagnasett!A98,"AAAAAFa/740=")</f>
        <v>#VALUE!</v>
      </c>
      <c r="EM5" t="e">
        <f>AND(Gagnasett!B98,"AAAAAFa/744=")</f>
        <v>#VALUE!</v>
      </c>
      <c r="EN5" t="e">
        <f>AND(Gagnasett!C98,"AAAAAFa/748=")</f>
        <v>#VALUE!</v>
      </c>
      <c r="EO5" t="e">
        <f>AND(Gagnasett!D98,"AAAAAFa/75A=")</f>
        <v>#VALUE!</v>
      </c>
      <c r="EP5" t="e">
        <f>AND(Gagnasett!E98,"AAAAAFa/75E=")</f>
        <v>#VALUE!</v>
      </c>
      <c r="EQ5" t="e">
        <f>AND(Gagnasett!F98,"AAAAAFa/75I=")</f>
        <v>#VALUE!</v>
      </c>
      <c r="ER5" t="e">
        <f>AND(Gagnasett!G98,"AAAAAFa/75M=")</f>
        <v>#VALUE!</v>
      </c>
      <c r="ES5" t="e">
        <f>AND(Gagnasett!H98,"AAAAAFa/75Q=")</f>
        <v>#VALUE!</v>
      </c>
      <c r="ET5" t="e">
        <f>AND(Gagnasett!I98,"AAAAAFa/75U=")</f>
        <v>#VALUE!</v>
      </c>
      <c r="EU5" t="e">
        <f>AND(Gagnasett!J98,"AAAAAFa/75Y=")</f>
        <v>#VALUE!</v>
      </c>
      <c r="EV5" t="e">
        <f>AND(Gagnasett!K98,"AAAAAFa/75c=")</f>
        <v>#VALUE!</v>
      </c>
      <c r="EW5">
        <f>IF(Gagnasett!99:99,"AAAAAFa/75g=",0)</f>
        <v>0</v>
      </c>
      <c r="EX5" t="e">
        <f>AND(Gagnasett!A99,"AAAAAFa/75k=")</f>
        <v>#VALUE!</v>
      </c>
      <c r="EY5" t="e">
        <f>AND(Gagnasett!B99,"AAAAAFa/75o=")</f>
        <v>#VALUE!</v>
      </c>
      <c r="EZ5" t="e">
        <f>AND(Gagnasett!C99,"AAAAAFa/75s=")</f>
        <v>#VALUE!</v>
      </c>
      <c r="FA5" t="e">
        <f>AND(Gagnasett!D99,"AAAAAFa/75w=")</f>
        <v>#VALUE!</v>
      </c>
      <c r="FB5" t="e">
        <f>AND(Gagnasett!E99,"AAAAAFa/750=")</f>
        <v>#VALUE!</v>
      </c>
      <c r="FC5" t="e">
        <f>AND(Gagnasett!F99,"AAAAAFa/754=")</f>
        <v>#VALUE!</v>
      </c>
      <c r="FD5" t="e">
        <f>AND(Gagnasett!G99,"AAAAAFa/758=")</f>
        <v>#VALUE!</v>
      </c>
      <c r="FE5" t="e">
        <f>AND(Gagnasett!H99,"AAAAAFa/76A=")</f>
        <v>#VALUE!</v>
      </c>
      <c r="FF5" t="e">
        <f>AND(Gagnasett!I99,"AAAAAFa/76E=")</f>
        <v>#VALUE!</v>
      </c>
      <c r="FG5" t="e">
        <f>AND(Gagnasett!J99,"AAAAAFa/76I=")</f>
        <v>#VALUE!</v>
      </c>
      <c r="FH5" t="e">
        <f>AND(Gagnasett!K99,"AAAAAFa/76M=")</f>
        <v>#VALUE!</v>
      </c>
      <c r="FI5">
        <f>IF(Gagnasett!100:100,"AAAAAFa/76Q=",0)</f>
        <v>0</v>
      </c>
      <c r="FJ5" t="e">
        <f>AND(Gagnasett!A100,"AAAAAFa/76U=")</f>
        <v>#VALUE!</v>
      </c>
      <c r="FK5" t="e">
        <f>AND(Gagnasett!B100,"AAAAAFa/76Y=")</f>
        <v>#VALUE!</v>
      </c>
      <c r="FL5" t="e">
        <f>AND(Gagnasett!C100,"AAAAAFa/76c=")</f>
        <v>#VALUE!</v>
      </c>
      <c r="FM5" t="e">
        <f>AND(Gagnasett!D100,"AAAAAFa/76g=")</f>
        <v>#VALUE!</v>
      </c>
      <c r="FN5" t="e">
        <f>AND(Gagnasett!E100,"AAAAAFa/76k=")</f>
        <v>#VALUE!</v>
      </c>
      <c r="FO5" t="e">
        <f>AND(Gagnasett!F100,"AAAAAFa/76o=")</f>
        <v>#VALUE!</v>
      </c>
      <c r="FP5" t="e">
        <f>AND(Gagnasett!G100,"AAAAAFa/76s=")</f>
        <v>#VALUE!</v>
      </c>
      <c r="FQ5" t="e">
        <f>AND(Gagnasett!H100,"AAAAAFa/76w=")</f>
        <v>#VALUE!</v>
      </c>
      <c r="FR5" t="e">
        <f>AND(Gagnasett!I100,"AAAAAFa/760=")</f>
        <v>#VALUE!</v>
      </c>
      <c r="FS5" t="e">
        <f>AND(Gagnasett!J100,"AAAAAFa/764=")</f>
        <v>#VALUE!</v>
      </c>
      <c r="FT5" t="e">
        <f>AND(Gagnasett!K100,"AAAAAFa/768=")</f>
        <v>#VALUE!</v>
      </c>
      <c r="FU5">
        <f>IF(Gagnasett!101:101,"AAAAAFa/77A=",0)</f>
        <v>0</v>
      </c>
      <c r="FV5" t="e">
        <f>AND(Gagnasett!A101,"AAAAAFa/77E=")</f>
        <v>#VALUE!</v>
      </c>
      <c r="FW5" t="e">
        <f>AND(Gagnasett!B101,"AAAAAFa/77I=")</f>
        <v>#VALUE!</v>
      </c>
      <c r="FX5" t="e">
        <f>AND(Gagnasett!C101,"AAAAAFa/77M=")</f>
        <v>#VALUE!</v>
      </c>
      <c r="FY5" t="e">
        <f>AND(Gagnasett!D101,"AAAAAFa/77Q=")</f>
        <v>#VALUE!</v>
      </c>
      <c r="FZ5" t="e">
        <f>AND(Gagnasett!E101,"AAAAAFa/77U=")</f>
        <v>#VALUE!</v>
      </c>
      <c r="GA5" t="e">
        <f>AND(Gagnasett!F101,"AAAAAFa/77Y=")</f>
        <v>#VALUE!</v>
      </c>
      <c r="GB5" t="e">
        <f>AND(Gagnasett!G101,"AAAAAFa/77c=")</f>
        <v>#VALUE!</v>
      </c>
      <c r="GC5" t="e">
        <f>AND(Gagnasett!H101,"AAAAAFa/77g=")</f>
        <v>#VALUE!</v>
      </c>
      <c r="GD5" t="e">
        <f>AND(Gagnasett!I101,"AAAAAFa/77k=")</f>
        <v>#VALUE!</v>
      </c>
      <c r="GE5" t="e">
        <f>AND(Gagnasett!J101,"AAAAAFa/77o=")</f>
        <v>#VALUE!</v>
      </c>
      <c r="GF5" t="e">
        <f>AND(Gagnasett!K101,"AAAAAFa/77s=")</f>
        <v>#VALUE!</v>
      </c>
      <c r="GG5">
        <f>IF(Gagnasett!102:102,"AAAAAFa/77w=",0)</f>
        <v>0</v>
      </c>
      <c r="GH5" t="e">
        <f>AND(Gagnasett!A102,"AAAAAFa/770=")</f>
        <v>#VALUE!</v>
      </c>
      <c r="GI5" t="e">
        <f>AND(Gagnasett!B102,"AAAAAFa/774=")</f>
        <v>#VALUE!</v>
      </c>
      <c r="GJ5" t="e">
        <f>AND(Gagnasett!C102,"AAAAAFa/778=")</f>
        <v>#VALUE!</v>
      </c>
      <c r="GK5" t="e">
        <f>AND(Gagnasett!D102,"AAAAAFa/78A=")</f>
        <v>#VALUE!</v>
      </c>
      <c r="GL5" t="e">
        <f>AND(Gagnasett!E102,"AAAAAFa/78E=")</f>
        <v>#VALUE!</v>
      </c>
      <c r="GM5" t="e">
        <f>AND(Gagnasett!F102,"AAAAAFa/78I=")</f>
        <v>#VALUE!</v>
      </c>
      <c r="GN5" t="e">
        <f>AND(Gagnasett!G102,"AAAAAFa/78M=")</f>
        <v>#VALUE!</v>
      </c>
      <c r="GO5" t="e">
        <f>AND(Gagnasett!H102,"AAAAAFa/78Q=")</f>
        <v>#VALUE!</v>
      </c>
      <c r="GP5" t="e">
        <f>AND(Gagnasett!I102,"AAAAAFa/78U=")</f>
        <v>#VALUE!</v>
      </c>
      <c r="GQ5" t="e">
        <f>AND(Gagnasett!J102,"AAAAAFa/78Y=")</f>
        <v>#VALUE!</v>
      </c>
      <c r="GR5" t="e">
        <f>AND(Gagnasett!K102,"AAAAAFa/78c=")</f>
        <v>#VALUE!</v>
      </c>
      <c r="GS5">
        <f>IF(Gagnasett!103:103,"AAAAAFa/78g=",0)</f>
        <v>0</v>
      </c>
      <c r="GT5" t="e">
        <f>AND(Gagnasett!A103,"AAAAAFa/78k=")</f>
        <v>#VALUE!</v>
      </c>
      <c r="GU5" t="e">
        <f>AND(Gagnasett!B103,"AAAAAFa/78o=")</f>
        <v>#VALUE!</v>
      </c>
      <c r="GV5" t="e">
        <f>AND(Gagnasett!C103,"AAAAAFa/78s=")</f>
        <v>#VALUE!</v>
      </c>
      <c r="GW5" t="e">
        <f>AND(Gagnasett!D103,"AAAAAFa/78w=")</f>
        <v>#VALUE!</v>
      </c>
      <c r="GX5" t="e">
        <f>AND(Gagnasett!E103,"AAAAAFa/780=")</f>
        <v>#VALUE!</v>
      </c>
      <c r="GY5" t="e">
        <f>AND(Gagnasett!F103,"AAAAAFa/784=")</f>
        <v>#VALUE!</v>
      </c>
      <c r="GZ5" t="e">
        <f>AND(Gagnasett!G103,"AAAAAFa/788=")</f>
        <v>#VALUE!</v>
      </c>
      <c r="HA5" t="e">
        <f>AND(Gagnasett!H103,"AAAAAFa/79A=")</f>
        <v>#VALUE!</v>
      </c>
      <c r="HB5" t="e">
        <f>AND(Gagnasett!I103,"AAAAAFa/79E=")</f>
        <v>#VALUE!</v>
      </c>
      <c r="HC5" t="e">
        <f>AND(Gagnasett!J103,"AAAAAFa/79I=")</f>
        <v>#VALUE!</v>
      </c>
      <c r="HD5" t="e">
        <f>AND(Gagnasett!K103,"AAAAAFa/79M=")</f>
        <v>#VALUE!</v>
      </c>
      <c r="HE5">
        <f>IF(Gagnasett!104:104,"AAAAAFa/79Q=",0)</f>
        <v>0</v>
      </c>
      <c r="HF5" t="e">
        <f>AND(Gagnasett!A104,"AAAAAFa/79U=")</f>
        <v>#VALUE!</v>
      </c>
      <c r="HG5" t="e">
        <f>AND(Gagnasett!B104,"AAAAAFa/79Y=")</f>
        <v>#VALUE!</v>
      </c>
      <c r="HH5" t="e">
        <f>AND(Gagnasett!C104,"AAAAAFa/79c=")</f>
        <v>#VALUE!</v>
      </c>
      <c r="HI5" t="e">
        <f>AND(Gagnasett!D104,"AAAAAFa/79g=")</f>
        <v>#VALUE!</v>
      </c>
      <c r="HJ5" t="e">
        <f>AND(Gagnasett!E104,"AAAAAFa/79k=")</f>
        <v>#VALUE!</v>
      </c>
      <c r="HK5" t="e">
        <f>AND(Gagnasett!F104,"AAAAAFa/79o=")</f>
        <v>#VALUE!</v>
      </c>
      <c r="HL5" t="e">
        <f>AND(Gagnasett!G104,"AAAAAFa/79s=")</f>
        <v>#VALUE!</v>
      </c>
      <c r="HM5" t="e">
        <f>AND(Gagnasett!H104,"AAAAAFa/79w=")</f>
        <v>#VALUE!</v>
      </c>
      <c r="HN5" t="e">
        <f>AND(Gagnasett!I104,"AAAAAFa/790=")</f>
        <v>#VALUE!</v>
      </c>
      <c r="HO5" t="e">
        <f>AND(Gagnasett!J104,"AAAAAFa/794=")</f>
        <v>#VALUE!</v>
      </c>
      <c r="HP5" t="e">
        <f>AND(Gagnasett!K104,"AAAAAFa/798=")</f>
        <v>#VALUE!</v>
      </c>
      <c r="HQ5">
        <f>IF(Gagnasett!105:105,"AAAAAFa/7+A=",0)</f>
        <v>0</v>
      </c>
      <c r="HR5" t="e">
        <f>AND(Gagnasett!A105,"AAAAAFa/7+E=")</f>
        <v>#VALUE!</v>
      </c>
      <c r="HS5" t="e">
        <f>AND(Gagnasett!B105,"AAAAAFa/7+I=")</f>
        <v>#VALUE!</v>
      </c>
      <c r="HT5" t="e">
        <f>AND(Gagnasett!C105,"AAAAAFa/7+M=")</f>
        <v>#VALUE!</v>
      </c>
      <c r="HU5" t="e">
        <f>AND(Gagnasett!D105,"AAAAAFa/7+Q=")</f>
        <v>#VALUE!</v>
      </c>
      <c r="HV5" t="e">
        <f>AND(Gagnasett!E105,"AAAAAFa/7+U=")</f>
        <v>#VALUE!</v>
      </c>
      <c r="HW5" t="e">
        <f>AND(Gagnasett!F105,"AAAAAFa/7+Y=")</f>
        <v>#VALUE!</v>
      </c>
      <c r="HX5" t="e">
        <f>AND(Gagnasett!G105,"AAAAAFa/7+c=")</f>
        <v>#VALUE!</v>
      </c>
      <c r="HY5" t="e">
        <f>AND(Gagnasett!H105,"AAAAAFa/7+g=")</f>
        <v>#VALUE!</v>
      </c>
      <c r="HZ5" t="e">
        <f>AND(Gagnasett!I105,"AAAAAFa/7+k=")</f>
        <v>#VALUE!</v>
      </c>
      <c r="IA5" t="e">
        <f>AND(Gagnasett!J105,"AAAAAFa/7+o=")</f>
        <v>#VALUE!</v>
      </c>
      <c r="IB5" t="e">
        <f>AND(Gagnasett!K105,"AAAAAFa/7+s=")</f>
        <v>#VALUE!</v>
      </c>
      <c r="IC5">
        <f>IF(Gagnasett!106:106,"AAAAAFa/7+w=",0)</f>
        <v>0</v>
      </c>
      <c r="ID5" t="e">
        <f>AND(Gagnasett!A106,"AAAAAFa/7+0=")</f>
        <v>#VALUE!</v>
      </c>
      <c r="IE5" t="e">
        <f>AND(Gagnasett!B106,"AAAAAFa/7+4=")</f>
        <v>#VALUE!</v>
      </c>
      <c r="IF5" t="e">
        <f>AND(Gagnasett!C106,"AAAAAFa/7+8=")</f>
        <v>#VALUE!</v>
      </c>
      <c r="IG5" t="e">
        <f>AND(Gagnasett!D106,"AAAAAFa/7/A=")</f>
        <v>#VALUE!</v>
      </c>
      <c r="IH5" t="e">
        <f>AND(Gagnasett!E106,"AAAAAFa/7/E=")</f>
        <v>#VALUE!</v>
      </c>
      <c r="II5" t="e">
        <f>AND(Gagnasett!F106,"AAAAAFa/7/I=")</f>
        <v>#VALUE!</v>
      </c>
      <c r="IJ5" t="e">
        <f>AND(Gagnasett!G106,"AAAAAFa/7/M=")</f>
        <v>#VALUE!</v>
      </c>
      <c r="IK5" t="e">
        <f>AND(Gagnasett!H106,"AAAAAFa/7/Q=")</f>
        <v>#VALUE!</v>
      </c>
      <c r="IL5" t="e">
        <f>AND(Gagnasett!I106,"AAAAAFa/7/U=")</f>
        <v>#VALUE!</v>
      </c>
      <c r="IM5" t="e">
        <f>AND(Gagnasett!J106,"AAAAAFa/7/Y=")</f>
        <v>#VALUE!</v>
      </c>
      <c r="IN5" t="e">
        <f>AND(Gagnasett!K106,"AAAAAFa/7/c=")</f>
        <v>#VALUE!</v>
      </c>
      <c r="IO5">
        <f>IF(Gagnasett!107:107,"AAAAAFa/7/g=",0)</f>
        <v>0</v>
      </c>
      <c r="IP5" t="e">
        <f>AND(Gagnasett!A107,"AAAAAFa/7/k=")</f>
        <v>#VALUE!</v>
      </c>
      <c r="IQ5" t="e">
        <f>AND(Gagnasett!B107,"AAAAAFa/7/o=")</f>
        <v>#VALUE!</v>
      </c>
      <c r="IR5" t="e">
        <f>AND(Gagnasett!C107,"AAAAAFa/7/s=")</f>
        <v>#VALUE!</v>
      </c>
      <c r="IS5" t="e">
        <f>AND(Gagnasett!D107,"AAAAAFa/7/w=")</f>
        <v>#VALUE!</v>
      </c>
      <c r="IT5" t="e">
        <f>AND(Gagnasett!E107,"AAAAAFa/7/0=")</f>
        <v>#VALUE!</v>
      </c>
      <c r="IU5" t="e">
        <f>AND(Gagnasett!F107,"AAAAAFa/7/4=")</f>
        <v>#VALUE!</v>
      </c>
      <c r="IV5" t="e">
        <f>AND(Gagnasett!G107,"AAAAAFa/7/8=")</f>
        <v>#VALUE!</v>
      </c>
    </row>
    <row r="6" spans="1:256" x14ac:dyDescent="0.3">
      <c r="A6" t="e">
        <f>AND(Gagnasett!H107,"AAAAAFf6rAA=")</f>
        <v>#VALUE!</v>
      </c>
      <c r="B6" t="e">
        <f>AND(Gagnasett!I107,"AAAAAFf6rAE=")</f>
        <v>#VALUE!</v>
      </c>
      <c r="C6" t="e">
        <f>AND(Gagnasett!J107,"AAAAAFf6rAI=")</f>
        <v>#VALUE!</v>
      </c>
      <c r="D6" t="e">
        <f>AND(Gagnasett!K107,"AAAAAFf6rAM=")</f>
        <v>#VALUE!</v>
      </c>
      <c r="E6" t="e">
        <f>IF(Gagnasett!108:108,"AAAAAFf6rAQ=",0)</f>
        <v>#VALUE!</v>
      </c>
      <c r="F6" t="e">
        <f>AND(Gagnasett!A108,"AAAAAFf6rAU=")</f>
        <v>#VALUE!</v>
      </c>
      <c r="G6" t="e">
        <f>AND(Gagnasett!B108,"AAAAAFf6rAY=")</f>
        <v>#VALUE!</v>
      </c>
      <c r="H6" t="e">
        <f>AND(Gagnasett!C108,"AAAAAFf6rAc=")</f>
        <v>#VALUE!</v>
      </c>
      <c r="I6" t="e">
        <f>AND(Gagnasett!D108,"AAAAAFf6rAg=")</f>
        <v>#VALUE!</v>
      </c>
      <c r="J6" t="e">
        <f>AND(Gagnasett!E108,"AAAAAFf6rAk=")</f>
        <v>#VALUE!</v>
      </c>
      <c r="K6" t="e">
        <f>AND(Gagnasett!F108,"AAAAAFf6rAo=")</f>
        <v>#VALUE!</v>
      </c>
      <c r="L6" t="e">
        <f>AND(Gagnasett!G108,"AAAAAFf6rAs=")</f>
        <v>#VALUE!</v>
      </c>
      <c r="M6" t="e">
        <f>AND(Gagnasett!H108,"AAAAAFf6rAw=")</f>
        <v>#VALUE!</v>
      </c>
      <c r="N6" t="e">
        <f>AND(Gagnasett!I108,"AAAAAFf6rA0=")</f>
        <v>#VALUE!</v>
      </c>
      <c r="O6" t="e">
        <f>AND(Gagnasett!J108,"AAAAAFf6rA4=")</f>
        <v>#VALUE!</v>
      </c>
      <c r="P6" t="e">
        <f>AND(Gagnasett!K108,"AAAAAFf6rA8=")</f>
        <v>#VALUE!</v>
      </c>
      <c r="Q6" t="e">
        <f>IF(Gagnasett!#REF!,"AAAAAFf6rBA=",0)</f>
        <v>#REF!</v>
      </c>
      <c r="R6" t="e">
        <f>AND(Gagnasett!#REF!,"AAAAAFf6rBE=")</f>
        <v>#REF!</v>
      </c>
      <c r="S6" t="e">
        <f>AND(Gagnasett!#REF!,"AAAAAFf6rBI=")</f>
        <v>#REF!</v>
      </c>
      <c r="T6" t="e">
        <f>AND(Gagnasett!#REF!,"AAAAAFf6rBM=")</f>
        <v>#REF!</v>
      </c>
      <c r="U6" t="e">
        <f>AND(Gagnasett!#REF!,"AAAAAFf6rBQ=")</f>
        <v>#REF!</v>
      </c>
      <c r="V6" t="e">
        <f>AND(Gagnasett!#REF!,"AAAAAFf6rBU=")</f>
        <v>#REF!</v>
      </c>
      <c r="W6" t="e">
        <f>AND(Gagnasett!#REF!,"AAAAAFf6rBY=")</f>
        <v>#REF!</v>
      </c>
      <c r="X6" t="e">
        <f>AND(Gagnasett!#REF!,"AAAAAFf6rBc=")</f>
        <v>#REF!</v>
      </c>
      <c r="Y6" t="e">
        <f>AND(Gagnasett!#REF!,"AAAAAFf6rBg=")</f>
        <v>#REF!</v>
      </c>
      <c r="Z6" t="e">
        <f>AND(Gagnasett!#REF!,"AAAAAFf6rBk=")</f>
        <v>#REF!</v>
      </c>
      <c r="AA6" t="e">
        <f>AND(Gagnasett!#REF!,"AAAAAFf6rBo=")</f>
        <v>#REF!</v>
      </c>
      <c r="AB6" t="e">
        <f>AND(Gagnasett!#REF!,"AAAAAFf6rBs=")</f>
        <v>#REF!</v>
      </c>
      <c r="AC6">
        <f>IF(Gagnasett!109:109,"AAAAAFf6rBw=",0)</f>
        <v>0</v>
      </c>
      <c r="AD6" t="e">
        <f>AND(Gagnasett!A109,"AAAAAFf6rB0=")</f>
        <v>#VALUE!</v>
      </c>
      <c r="AE6" t="e">
        <f>AND(Gagnasett!B109,"AAAAAFf6rB4=")</f>
        <v>#VALUE!</v>
      </c>
      <c r="AF6" t="e">
        <f>AND(Gagnasett!C109,"AAAAAFf6rB8=")</f>
        <v>#VALUE!</v>
      </c>
      <c r="AG6" t="e">
        <f>AND(Gagnasett!D109,"AAAAAFf6rCA=")</f>
        <v>#VALUE!</v>
      </c>
      <c r="AH6" t="e">
        <f>AND(Gagnasett!E109,"AAAAAFf6rCE=")</f>
        <v>#VALUE!</v>
      </c>
      <c r="AI6" t="e">
        <f>AND(Gagnasett!F109,"AAAAAFf6rCI=")</f>
        <v>#VALUE!</v>
      </c>
      <c r="AJ6" t="e">
        <f>AND(Gagnasett!G109,"AAAAAFf6rCM=")</f>
        <v>#VALUE!</v>
      </c>
      <c r="AK6" t="e">
        <f>AND(Gagnasett!H109,"AAAAAFf6rCQ=")</f>
        <v>#VALUE!</v>
      </c>
      <c r="AL6" t="e">
        <f>AND(Gagnasett!I109,"AAAAAFf6rCU=")</f>
        <v>#VALUE!</v>
      </c>
      <c r="AM6" t="e">
        <f>AND(Gagnasett!J109,"AAAAAFf6rCY=")</f>
        <v>#VALUE!</v>
      </c>
      <c r="AN6" t="e">
        <f>AND(Gagnasett!K109,"AAAAAFf6rCc=")</f>
        <v>#VALUE!</v>
      </c>
      <c r="AO6">
        <f>IF(Gagnasett!110:110,"AAAAAFf6rCg=",0)</f>
        <v>0</v>
      </c>
      <c r="AP6" t="e">
        <f>AND(Gagnasett!A110,"AAAAAFf6rCk=")</f>
        <v>#VALUE!</v>
      </c>
      <c r="AQ6" t="e">
        <f>AND(Gagnasett!B110,"AAAAAFf6rCo=")</f>
        <v>#VALUE!</v>
      </c>
      <c r="AR6" t="e">
        <f>AND(Gagnasett!C110,"AAAAAFf6rCs=")</f>
        <v>#VALUE!</v>
      </c>
      <c r="AS6" t="e">
        <f>AND(Gagnasett!D110,"AAAAAFf6rCw=")</f>
        <v>#VALUE!</v>
      </c>
      <c r="AT6" t="e">
        <f>AND(Gagnasett!E110,"AAAAAFf6rC0=")</f>
        <v>#VALUE!</v>
      </c>
      <c r="AU6" t="e">
        <f>AND(Gagnasett!F110,"AAAAAFf6rC4=")</f>
        <v>#VALUE!</v>
      </c>
      <c r="AV6" t="e">
        <f>AND(Gagnasett!G110,"AAAAAFf6rC8=")</f>
        <v>#VALUE!</v>
      </c>
      <c r="AW6" t="e">
        <f>AND(Gagnasett!H110,"AAAAAFf6rDA=")</f>
        <v>#VALUE!</v>
      </c>
      <c r="AX6" t="e">
        <f>AND(Gagnasett!I110,"AAAAAFf6rDE=")</f>
        <v>#VALUE!</v>
      </c>
      <c r="AY6" t="e">
        <f>AND(Gagnasett!J110,"AAAAAFf6rDI=")</f>
        <v>#VALUE!</v>
      </c>
      <c r="AZ6" t="e">
        <f>AND(Gagnasett!K110,"AAAAAFf6rDM=")</f>
        <v>#VALUE!</v>
      </c>
      <c r="BA6">
        <f>IF(Gagnasett!111:111,"AAAAAFf6rDQ=",0)</f>
        <v>0</v>
      </c>
      <c r="BB6" t="e">
        <f>AND(Gagnasett!A111,"AAAAAFf6rDU=")</f>
        <v>#VALUE!</v>
      </c>
      <c r="BC6" t="e">
        <f>AND(Gagnasett!B111,"AAAAAFf6rDY=")</f>
        <v>#VALUE!</v>
      </c>
      <c r="BD6" t="e">
        <f>AND(Gagnasett!C111,"AAAAAFf6rDc=")</f>
        <v>#VALUE!</v>
      </c>
      <c r="BE6" t="e">
        <f>AND(Gagnasett!D111,"AAAAAFf6rDg=")</f>
        <v>#VALUE!</v>
      </c>
      <c r="BF6" t="e">
        <f>AND(Gagnasett!E111,"AAAAAFf6rDk=")</f>
        <v>#VALUE!</v>
      </c>
      <c r="BG6" t="e">
        <f>AND(Gagnasett!F111,"AAAAAFf6rDo=")</f>
        <v>#VALUE!</v>
      </c>
      <c r="BH6" t="e">
        <f>AND(Gagnasett!G111,"AAAAAFf6rDs=")</f>
        <v>#VALUE!</v>
      </c>
      <c r="BI6" t="e">
        <f>AND(Gagnasett!H111,"AAAAAFf6rDw=")</f>
        <v>#VALUE!</v>
      </c>
      <c r="BJ6" t="e">
        <f>AND(Gagnasett!I111,"AAAAAFf6rD0=")</f>
        <v>#VALUE!</v>
      </c>
      <c r="BK6" t="e">
        <f>AND(Gagnasett!J111,"AAAAAFf6rD4=")</f>
        <v>#VALUE!</v>
      </c>
      <c r="BL6" t="e">
        <f>AND(Gagnasett!K111,"AAAAAFf6rD8=")</f>
        <v>#VALUE!</v>
      </c>
      <c r="BM6">
        <f>IF(Gagnasett!112:112,"AAAAAFf6rEA=",0)</f>
        <v>0</v>
      </c>
      <c r="BN6" t="e">
        <f>AND(Gagnasett!A112,"AAAAAFf6rEE=")</f>
        <v>#VALUE!</v>
      </c>
      <c r="BO6" t="e">
        <f>AND(Gagnasett!B112,"AAAAAFf6rEI=")</f>
        <v>#VALUE!</v>
      </c>
      <c r="BP6" t="e">
        <f>AND(Gagnasett!C112,"AAAAAFf6rEM=")</f>
        <v>#VALUE!</v>
      </c>
      <c r="BQ6" t="e">
        <f>AND(Gagnasett!D112,"AAAAAFf6rEQ=")</f>
        <v>#VALUE!</v>
      </c>
      <c r="BR6" t="e">
        <f>AND(Gagnasett!E112,"AAAAAFf6rEU=")</f>
        <v>#VALUE!</v>
      </c>
      <c r="BS6" t="e">
        <f>AND(Gagnasett!F112,"AAAAAFf6rEY=")</f>
        <v>#VALUE!</v>
      </c>
      <c r="BT6" t="e">
        <f>AND(Gagnasett!G112,"AAAAAFf6rEc=")</f>
        <v>#VALUE!</v>
      </c>
      <c r="BU6" t="e">
        <f>AND(Gagnasett!H112,"AAAAAFf6rEg=")</f>
        <v>#VALUE!</v>
      </c>
      <c r="BV6" t="e">
        <f>AND(Gagnasett!I112,"AAAAAFf6rEk=")</f>
        <v>#VALUE!</v>
      </c>
      <c r="BW6" t="e">
        <f>AND(Gagnasett!J112,"AAAAAFf6rEo=")</f>
        <v>#VALUE!</v>
      </c>
      <c r="BX6" t="e">
        <f>AND(Gagnasett!K112,"AAAAAFf6rEs=")</f>
        <v>#VALUE!</v>
      </c>
      <c r="BY6">
        <f>IF(Gagnasett!113:113,"AAAAAFf6rEw=",0)</f>
        <v>0</v>
      </c>
      <c r="BZ6" t="e">
        <f>AND(Gagnasett!A113,"AAAAAFf6rE0=")</f>
        <v>#VALUE!</v>
      </c>
      <c r="CA6" t="e">
        <f>AND(Gagnasett!B113,"AAAAAFf6rE4=")</f>
        <v>#VALUE!</v>
      </c>
      <c r="CB6" t="e">
        <f>AND(Gagnasett!C113,"AAAAAFf6rE8=")</f>
        <v>#VALUE!</v>
      </c>
      <c r="CC6" t="e">
        <f>AND(Gagnasett!D113,"AAAAAFf6rFA=")</f>
        <v>#VALUE!</v>
      </c>
      <c r="CD6" t="e">
        <f>AND(Gagnasett!E113,"AAAAAFf6rFE=")</f>
        <v>#VALUE!</v>
      </c>
      <c r="CE6" t="e">
        <f>AND(Gagnasett!F113,"AAAAAFf6rFI=")</f>
        <v>#VALUE!</v>
      </c>
      <c r="CF6" t="e">
        <f>AND(Gagnasett!G113,"AAAAAFf6rFM=")</f>
        <v>#VALUE!</v>
      </c>
      <c r="CG6" t="e">
        <f>AND(Gagnasett!H113,"AAAAAFf6rFQ=")</f>
        <v>#VALUE!</v>
      </c>
      <c r="CH6" t="e">
        <f>AND(Gagnasett!I113,"AAAAAFf6rFU=")</f>
        <v>#VALUE!</v>
      </c>
      <c r="CI6" t="e">
        <f>AND(Gagnasett!J113,"AAAAAFf6rFY=")</f>
        <v>#VALUE!</v>
      </c>
      <c r="CJ6" t="e">
        <f>AND(Gagnasett!K113,"AAAAAFf6rFc=")</f>
        <v>#VALUE!</v>
      </c>
      <c r="CK6">
        <f>IF(Gagnasett!114:114,"AAAAAFf6rFg=",0)</f>
        <v>0</v>
      </c>
      <c r="CL6" t="e">
        <f>AND(Gagnasett!A114,"AAAAAFf6rFk=")</f>
        <v>#VALUE!</v>
      </c>
      <c r="CM6" t="e">
        <f>AND(Gagnasett!B114,"AAAAAFf6rFo=")</f>
        <v>#VALUE!</v>
      </c>
      <c r="CN6" t="e">
        <f>AND(Gagnasett!C114,"AAAAAFf6rFs=")</f>
        <v>#VALUE!</v>
      </c>
      <c r="CO6" t="e">
        <f>AND(Gagnasett!D114,"AAAAAFf6rFw=")</f>
        <v>#VALUE!</v>
      </c>
      <c r="CP6" t="e">
        <f>AND(Gagnasett!E114,"AAAAAFf6rF0=")</f>
        <v>#VALUE!</v>
      </c>
      <c r="CQ6" t="e">
        <f>AND(Gagnasett!F114,"AAAAAFf6rF4=")</f>
        <v>#VALUE!</v>
      </c>
      <c r="CR6" t="e">
        <f>AND(Gagnasett!G114,"AAAAAFf6rF8=")</f>
        <v>#VALUE!</v>
      </c>
      <c r="CS6" t="e">
        <f>AND(Gagnasett!H114,"AAAAAFf6rGA=")</f>
        <v>#VALUE!</v>
      </c>
      <c r="CT6" t="e">
        <f>AND(Gagnasett!I114,"AAAAAFf6rGE=")</f>
        <v>#VALUE!</v>
      </c>
      <c r="CU6" t="e">
        <f>AND(Gagnasett!J114,"AAAAAFf6rGI=")</f>
        <v>#VALUE!</v>
      </c>
      <c r="CV6" t="e">
        <f>AND(Gagnasett!K114,"AAAAAFf6rGM=")</f>
        <v>#VALUE!</v>
      </c>
      <c r="CW6">
        <f>IF(Gagnasett!115:115,"AAAAAFf6rGQ=",0)</f>
        <v>0</v>
      </c>
      <c r="CX6" t="e">
        <f>AND(Gagnasett!A115,"AAAAAFf6rGU=")</f>
        <v>#VALUE!</v>
      </c>
      <c r="CY6" t="e">
        <f>AND(Gagnasett!B115,"AAAAAFf6rGY=")</f>
        <v>#VALUE!</v>
      </c>
      <c r="CZ6" t="e">
        <f>AND(Gagnasett!C115,"AAAAAFf6rGc=")</f>
        <v>#VALUE!</v>
      </c>
      <c r="DA6" t="e">
        <f>AND(Gagnasett!D115,"AAAAAFf6rGg=")</f>
        <v>#VALUE!</v>
      </c>
      <c r="DB6" t="e">
        <f>AND(Gagnasett!E115,"AAAAAFf6rGk=")</f>
        <v>#VALUE!</v>
      </c>
      <c r="DC6" t="e">
        <f>AND(Gagnasett!F115,"AAAAAFf6rGo=")</f>
        <v>#VALUE!</v>
      </c>
      <c r="DD6" t="e">
        <f>AND(Gagnasett!G115,"AAAAAFf6rGs=")</f>
        <v>#VALUE!</v>
      </c>
      <c r="DE6" t="e">
        <f>AND(Gagnasett!H115,"AAAAAFf6rGw=")</f>
        <v>#VALUE!</v>
      </c>
      <c r="DF6" t="e">
        <f>AND(Gagnasett!I115,"AAAAAFf6rG0=")</f>
        <v>#VALUE!</v>
      </c>
      <c r="DG6" t="e">
        <f>AND(Gagnasett!J115,"AAAAAFf6rG4=")</f>
        <v>#VALUE!</v>
      </c>
      <c r="DH6" t="e">
        <f>AND(Gagnasett!K115,"AAAAAFf6rG8=")</f>
        <v>#VALUE!</v>
      </c>
      <c r="DI6">
        <f>IF(Gagnasett!116:116,"AAAAAFf6rHA=",0)</f>
        <v>0</v>
      </c>
      <c r="DJ6" t="e">
        <f>AND(Gagnasett!A116,"AAAAAFf6rHE=")</f>
        <v>#VALUE!</v>
      </c>
      <c r="DK6" t="e">
        <f>AND(Gagnasett!B116,"AAAAAFf6rHI=")</f>
        <v>#VALUE!</v>
      </c>
      <c r="DL6" t="e">
        <f>AND(Gagnasett!C116,"AAAAAFf6rHM=")</f>
        <v>#VALUE!</v>
      </c>
      <c r="DM6" t="e">
        <f>AND(Gagnasett!D116,"AAAAAFf6rHQ=")</f>
        <v>#VALUE!</v>
      </c>
      <c r="DN6" t="e">
        <f>AND(Gagnasett!E116,"AAAAAFf6rHU=")</f>
        <v>#VALUE!</v>
      </c>
      <c r="DO6" t="e">
        <f>AND(Gagnasett!F116,"AAAAAFf6rHY=")</f>
        <v>#VALUE!</v>
      </c>
      <c r="DP6" t="e">
        <f>AND(Gagnasett!G116,"AAAAAFf6rHc=")</f>
        <v>#VALUE!</v>
      </c>
      <c r="DQ6" t="e">
        <f>AND(Gagnasett!H116,"AAAAAFf6rHg=")</f>
        <v>#VALUE!</v>
      </c>
      <c r="DR6" t="e">
        <f>AND(Gagnasett!I116,"AAAAAFf6rHk=")</f>
        <v>#VALUE!</v>
      </c>
      <c r="DS6" t="e">
        <f>AND(Gagnasett!J116,"AAAAAFf6rHo=")</f>
        <v>#VALUE!</v>
      </c>
      <c r="DT6" t="e">
        <f>AND(Gagnasett!K116,"AAAAAFf6rHs=")</f>
        <v>#VALUE!</v>
      </c>
      <c r="DU6">
        <f>IF(Gagnasett!117:117,"AAAAAFf6rHw=",0)</f>
        <v>0</v>
      </c>
      <c r="DV6" t="e">
        <f>AND(Gagnasett!A117,"AAAAAFf6rH0=")</f>
        <v>#VALUE!</v>
      </c>
      <c r="DW6" t="e">
        <f>AND(Gagnasett!B117,"AAAAAFf6rH4=")</f>
        <v>#VALUE!</v>
      </c>
      <c r="DX6" t="e">
        <f>AND(Gagnasett!C117,"AAAAAFf6rH8=")</f>
        <v>#VALUE!</v>
      </c>
      <c r="DY6" t="e">
        <f>AND(Gagnasett!D117,"AAAAAFf6rIA=")</f>
        <v>#VALUE!</v>
      </c>
      <c r="DZ6" t="e">
        <f>AND(Gagnasett!E117,"AAAAAFf6rIE=")</f>
        <v>#VALUE!</v>
      </c>
      <c r="EA6" t="e">
        <f>AND(Gagnasett!F117,"AAAAAFf6rII=")</f>
        <v>#VALUE!</v>
      </c>
      <c r="EB6" t="e">
        <f>AND(Gagnasett!G117,"AAAAAFf6rIM=")</f>
        <v>#VALUE!</v>
      </c>
      <c r="EC6" t="e">
        <f>AND(Gagnasett!H117,"AAAAAFf6rIQ=")</f>
        <v>#VALUE!</v>
      </c>
      <c r="ED6" t="e">
        <f>AND(Gagnasett!I117,"AAAAAFf6rIU=")</f>
        <v>#VALUE!</v>
      </c>
      <c r="EE6" t="e">
        <f>AND(Gagnasett!J117,"AAAAAFf6rIY=")</f>
        <v>#VALUE!</v>
      </c>
      <c r="EF6" t="e">
        <f>AND(Gagnasett!K117,"AAAAAFf6rIc=")</f>
        <v>#VALUE!</v>
      </c>
      <c r="EG6">
        <f>IF(Gagnasett!118:118,"AAAAAFf6rIg=",0)</f>
        <v>0</v>
      </c>
      <c r="EH6" t="e">
        <f>AND(Gagnasett!A118,"AAAAAFf6rIk=")</f>
        <v>#VALUE!</v>
      </c>
      <c r="EI6" t="e">
        <f>AND(Gagnasett!B118,"AAAAAFf6rIo=")</f>
        <v>#VALUE!</v>
      </c>
      <c r="EJ6" t="e">
        <f>AND(Gagnasett!C118,"AAAAAFf6rIs=")</f>
        <v>#VALUE!</v>
      </c>
      <c r="EK6" t="e">
        <f>AND(Gagnasett!D118,"AAAAAFf6rIw=")</f>
        <v>#VALUE!</v>
      </c>
      <c r="EL6" t="e">
        <f>AND(Gagnasett!E118,"AAAAAFf6rI0=")</f>
        <v>#VALUE!</v>
      </c>
      <c r="EM6" t="e">
        <f>AND(Gagnasett!F118,"AAAAAFf6rI4=")</f>
        <v>#VALUE!</v>
      </c>
      <c r="EN6" t="e">
        <f>AND(Gagnasett!G118,"AAAAAFf6rI8=")</f>
        <v>#VALUE!</v>
      </c>
      <c r="EO6" t="e">
        <f>AND(Gagnasett!H118,"AAAAAFf6rJA=")</f>
        <v>#VALUE!</v>
      </c>
      <c r="EP6" t="e">
        <f>AND(Gagnasett!I118,"AAAAAFf6rJE=")</f>
        <v>#VALUE!</v>
      </c>
      <c r="EQ6" t="e">
        <f>AND(Gagnasett!J118,"AAAAAFf6rJI=")</f>
        <v>#VALUE!</v>
      </c>
      <c r="ER6" t="e">
        <f>AND(Gagnasett!K118,"AAAAAFf6rJM=")</f>
        <v>#VALUE!</v>
      </c>
      <c r="ES6">
        <f>IF(Gagnasett!119:119,"AAAAAFf6rJQ=",0)</f>
        <v>0</v>
      </c>
      <c r="ET6" t="e">
        <f>AND(Gagnasett!A119,"AAAAAFf6rJU=")</f>
        <v>#VALUE!</v>
      </c>
      <c r="EU6" t="e">
        <f>AND(Gagnasett!B119,"AAAAAFf6rJY=")</f>
        <v>#VALUE!</v>
      </c>
      <c r="EV6" t="e">
        <f>AND(Gagnasett!C119,"AAAAAFf6rJc=")</f>
        <v>#VALUE!</v>
      </c>
      <c r="EW6" t="e">
        <f>AND(Gagnasett!D119,"AAAAAFf6rJg=")</f>
        <v>#VALUE!</v>
      </c>
      <c r="EX6" t="e">
        <f>AND(Gagnasett!E119,"AAAAAFf6rJk=")</f>
        <v>#VALUE!</v>
      </c>
      <c r="EY6" t="e">
        <f>AND(Gagnasett!F119,"AAAAAFf6rJo=")</f>
        <v>#VALUE!</v>
      </c>
      <c r="EZ6" t="e">
        <f>AND(Gagnasett!G119,"AAAAAFf6rJs=")</f>
        <v>#VALUE!</v>
      </c>
      <c r="FA6" t="e">
        <f>AND(Gagnasett!H119,"AAAAAFf6rJw=")</f>
        <v>#VALUE!</v>
      </c>
      <c r="FB6" t="e">
        <f>AND(Gagnasett!I119,"AAAAAFf6rJ0=")</f>
        <v>#VALUE!</v>
      </c>
      <c r="FC6" t="e">
        <f>AND(Gagnasett!J119,"AAAAAFf6rJ4=")</f>
        <v>#VALUE!</v>
      </c>
      <c r="FD6" t="e">
        <f>AND(Gagnasett!K119,"AAAAAFf6rJ8=")</f>
        <v>#VALUE!</v>
      </c>
      <c r="FE6">
        <f>IF(Gagnasett!120:120,"AAAAAFf6rKA=",0)</f>
        <v>0</v>
      </c>
      <c r="FF6" t="e">
        <f>AND(Gagnasett!A120,"AAAAAFf6rKE=")</f>
        <v>#VALUE!</v>
      </c>
      <c r="FG6" t="e">
        <f>AND(Gagnasett!B120,"AAAAAFf6rKI=")</f>
        <v>#VALUE!</v>
      </c>
      <c r="FH6" t="e">
        <f>AND(Gagnasett!C120,"AAAAAFf6rKM=")</f>
        <v>#VALUE!</v>
      </c>
      <c r="FI6" t="e">
        <f>AND(Gagnasett!D120,"AAAAAFf6rKQ=")</f>
        <v>#VALUE!</v>
      </c>
      <c r="FJ6" t="e">
        <f>AND(Gagnasett!E120,"AAAAAFf6rKU=")</f>
        <v>#VALUE!</v>
      </c>
      <c r="FK6" t="e">
        <f>AND(Gagnasett!F120,"AAAAAFf6rKY=")</f>
        <v>#VALUE!</v>
      </c>
      <c r="FL6" t="e">
        <f>AND(Gagnasett!G120,"AAAAAFf6rKc=")</f>
        <v>#VALUE!</v>
      </c>
      <c r="FM6" t="e">
        <f>AND(Gagnasett!H120,"AAAAAFf6rKg=")</f>
        <v>#VALUE!</v>
      </c>
      <c r="FN6" t="e">
        <f>AND(Gagnasett!I120,"AAAAAFf6rKk=")</f>
        <v>#VALUE!</v>
      </c>
      <c r="FO6" t="e">
        <f>AND(Gagnasett!J120,"AAAAAFf6rKo=")</f>
        <v>#VALUE!</v>
      </c>
      <c r="FP6" t="e">
        <f>AND(Gagnasett!K120,"AAAAAFf6rKs=")</f>
        <v>#VALUE!</v>
      </c>
      <c r="FQ6">
        <f>IF(Gagnasett!121:121,"AAAAAFf6rKw=",0)</f>
        <v>0</v>
      </c>
      <c r="FR6" t="e">
        <f>AND(Gagnasett!A121,"AAAAAFf6rK0=")</f>
        <v>#VALUE!</v>
      </c>
      <c r="FS6" t="e">
        <f>AND(Gagnasett!B121,"AAAAAFf6rK4=")</f>
        <v>#VALUE!</v>
      </c>
      <c r="FT6" t="e">
        <f>AND(Gagnasett!C121,"AAAAAFf6rK8=")</f>
        <v>#VALUE!</v>
      </c>
      <c r="FU6" t="e">
        <f>AND(Gagnasett!D121,"AAAAAFf6rLA=")</f>
        <v>#VALUE!</v>
      </c>
      <c r="FV6" t="e">
        <f>AND(Gagnasett!E121,"AAAAAFf6rLE=")</f>
        <v>#VALUE!</v>
      </c>
      <c r="FW6" t="e">
        <f>AND(Gagnasett!F121,"AAAAAFf6rLI=")</f>
        <v>#VALUE!</v>
      </c>
      <c r="FX6" t="e">
        <f>AND(Gagnasett!G121,"AAAAAFf6rLM=")</f>
        <v>#VALUE!</v>
      </c>
      <c r="FY6" t="e">
        <f>AND(Gagnasett!H121,"AAAAAFf6rLQ=")</f>
        <v>#VALUE!</v>
      </c>
      <c r="FZ6" t="e">
        <f>AND(Gagnasett!I121,"AAAAAFf6rLU=")</f>
        <v>#VALUE!</v>
      </c>
      <c r="GA6" t="e">
        <f>AND(Gagnasett!J121,"AAAAAFf6rLY=")</f>
        <v>#VALUE!</v>
      </c>
      <c r="GB6" t="e">
        <f>AND(Gagnasett!K121,"AAAAAFf6rLc=")</f>
        <v>#VALUE!</v>
      </c>
      <c r="GC6">
        <f>IF(Gagnasett!122:122,"AAAAAFf6rLg=",0)</f>
        <v>0</v>
      </c>
      <c r="GD6" t="e">
        <f>AND(Gagnasett!A122,"AAAAAFf6rLk=")</f>
        <v>#VALUE!</v>
      </c>
      <c r="GE6" t="e">
        <f>AND(Gagnasett!B122,"AAAAAFf6rLo=")</f>
        <v>#VALUE!</v>
      </c>
      <c r="GF6" t="e">
        <f>AND(Gagnasett!C122,"AAAAAFf6rLs=")</f>
        <v>#VALUE!</v>
      </c>
      <c r="GG6" t="e">
        <f>AND(Gagnasett!D122,"AAAAAFf6rLw=")</f>
        <v>#VALUE!</v>
      </c>
      <c r="GH6" t="e">
        <f>AND(Gagnasett!E122,"AAAAAFf6rL0=")</f>
        <v>#VALUE!</v>
      </c>
      <c r="GI6" t="e">
        <f>AND(Gagnasett!F122,"AAAAAFf6rL4=")</f>
        <v>#VALUE!</v>
      </c>
      <c r="GJ6" t="e">
        <f>AND(Gagnasett!G122,"AAAAAFf6rL8=")</f>
        <v>#VALUE!</v>
      </c>
      <c r="GK6" t="e">
        <f>AND(Gagnasett!H122,"AAAAAFf6rMA=")</f>
        <v>#VALUE!</v>
      </c>
      <c r="GL6" t="e">
        <f>AND(Gagnasett!I122,"AAAAAFf6rME=")</f>
        <v>#VALUE!</v>
      </c>
      <c r="GM6" t="e">
        <f>AND(Gagnasett!J122,"AAAAAFf6rMI=")</f>
        <v>#VALUE!</v>
      </c>
      <c r="GN6" t="e">
        <f>AND(Gagnasett!K122,"AAAAAFf6rMM=")</f>
        <v>#VALUE!</v>
      </c>
      <c r="GO6">
        <f>IF(Gagnasett!123:123,"AAAAAFf6rMQ=",0)</f>
        <v>0</v>
      </c>
      <c r="GP6" t="e">
        <f>AND(Gagnasett!A123,"AAAAAFf6rMU=")</f>
        <v>#VALUE!</v>
      </c>
      <c r="GQ6" t="e">
        <f>AND(Gagnasett!B123,"AAAAAFf6rMY=")</f>
        <v>#VALUE!</v>
      </c>
      <c r="GR6" t="e">
        <f>AND(Gagnasett!C123,"AAAAAFf6rMc=")</f>
        <v>#VALUE!</v>
      </c>
      <c r="GS6" t="e">
        <f>AND(Gagnasett!D123,"AAAAAFf6rMg=")</f>
        <v>#VALUE!</v>
      </c>
      <c r="GT6" t="e">
        <f>AND(Gagnasett!E123,"AAAAAFf6rMk=")</f>
        <v>#VALUE!</v>
      </c>
      <c r="GU6" t="e">
        <f>AND(Gagnasett!F123,"AAAAAFf6rMo=")</f>
        <v>#VALUE!</v>
      </c>
      <c r="GV6" t="e">
        <f>AND(Gagnasett!G123,"AAAAAFf6rMs=")</f>
        <v>#VALUE!</v>
      </c>
      <c r="GW6" t="e">
        <f>AND(Gagnasett!H123,"AAAAAFf6rMw=")</f>
        <v>#VALUE!</v>
      </c>
      <c r="GX6" t="e">
        <f>AND(Gagnasett!I123,"AAAAAFf6rM0=")</f>
        <v>#VALUE!</v>
      </c>
      <c r="GY6" t="e">
        <f>AND(Gagnasett!J123,"AAAAAFf6rM4=")</f>
        <v>#VALUE!</v>
      </c>
      <c r="GZ6" t="e">
        <f>AND(Gagnasett!K123,"AAAAAFf6rM8=")</f>
        <v>#VALUE!</v>
      </c>
      <c r="HA6">
        <f>IF(Gagnasett!124:124,"AAAAAFf6rNA=",0)</f>
        <v>0</v>
      </c>
      <c r="HB6" t="e">
        <f>AND(Gagnasett!A124,"AAAAAFf6rNE=")</f>
        <v>#VALUE!</v>
      </c>
      <c r="HC6" t="e">
        <f>AND(Gagnasett!B124,"AAAAAFf6rNI=")</f>
        <v>#VALUE!</v>
      </c>
      <c r="HD6" t="e">
        <f>AND(Gagnasett!C124,"AAAAAFf6rNM=")</f>
        <v>#VALUE!</v>
      </c>
      <c r="HE6" t="e">
        <f>AND(Gagnasett!D124,"AAAAAFf6rNQ=")</f>
        <v>#VALUE!</v>
      </c>
      <c r="HF6" t="e">
        <f>AND(Gagnasett!E124,"AAAAAFf6rNU=")</f>
        <v>#VALUE!</v>
      </c>
      <c r="HG6" t="e">
        <f>AND(Gagnasett!F124,"AAAAAFf6rNY=")</f>
        <v>#VALUE!</v>
      </c>
      <c r="HH6" t="e">
        <f>AND(Gagnasett!G124,"AAAAAFf6rNc=")</f>
        <v>#VALUE!</v>
      </c>
      <c r="HI6" t="e">
        <f>AND(Gagnasett!H124,"AAAAAFf6rNg=")</f>
        <v>#VALUE!</v>
      </c>
      <c r="HJ6" t="e">
        <f>AND(Gagnasett!I124,"AAAAAFf6rNk=")</f>
        <v>#VALUE!</v>
      </c>
      <c r="HK6" t="e">
        <f>AND(Gagnasett!J124,"AAAAAFf6rNo=")</f>
        <v>#VALUE!</v>
      </c>
      <c r="HL6" t="e">
        <f>AND(Gagnasett!K124,"AAAAAFf6rNs=")</f>
        <v>#VALUE!</v>
      </c>
      <c r="HM6">
        <f>IF(Gagnasett!125:125,"AAAAAFf6rNw=",0)</f>
        <v>0</v>
      </c>
      <c r="HN6" t="e">
        <f>AND(Gagnasett!A125,"AAAAAFf6rN0=")</f>
        <v>#VALUE!</v>
      </c>
      <c r="HO6" t="e">
        <f>AND(Gagnasett!B125,"AAAAAFf6rN4=")</f>
        <v>#VALUE!</v>
      </c>
      <c r="HP6" t="e">
        <f>AND(Gagnasett!C125,"AAAAAFf6rN8=")</f>
        <v>#VALUE!</v>
      </c>
      <c r="HQ6" t="e">
        <f>AND(Gagnasett!D125,"AAAAAFf6rOA=")</f>
        <v>#VALUE!</v>
      </c>
      <c r="HR6" t="e">
        <f>AND(Gagnasett!E125,"AAAAAFf6rOE=")</f>
        <v>#VALUE!</v>
      </c>
      <c r="HS6" t="e">
        <f>AND(Gagnasett!F125,"AAAAAFf6rOI=")</f>
        <v>#VALUE!</v>
      </c>
      <c r="HT6" t="e">
        <f>AND(Gagnasett!G125,"AAAAAFf6rOM=")</f>
        <v>#VALUE!</v>
      </c>
      <c r="HU6" t="e">
        <f>AND(Gagnasett!H125,"AAAAAFf6rOQ=")</f>
        <v>#VALUE!</v>
      </c>
      <c r="HV6" t="e">
        <f>AND(Gagnasett!I125,"AAAAAFf6rOU=")</f>
        <v>#VALUE!</v>
      </c>
      <c r="HW6" t="e">
        <f>AND(Gagnasett!J125,"AAAAAFf6rOY=")</f>
        <v>#VALUE!</v>
      </c>
      <c r="HX6" t="e">
        <f>AND(Gagnasett!K125,"AAAAAFf6rOc=")</f>
        <v>#VALUE!</v>
      </c>
      <c r="HY6">
        <f>IF(Gagnasett!126:126,"AAAAAFf6rOg=",0)</f>
        <v>0</v>
      </c>
      <c r="HZ6" t="e">
        <f>AND(Gagnasett!A126,"AAAAAFf6rOk=")</f>
        <v>#VALUE!</v>
      </c>
      <c r="IA6" t="e">
        <f>AND(Gagnasett!B126,"AAAAAFf6rOo=")</f>
        <v>#VALUE!</v>
      </c>
      <c r="IB6" t="e">
        <f>AND(Gagnasett!C126,"AAAAAFf6rOs=")</f>
        <v>#VALUE!</v>
      </c>
      <c r="IC6" t="e">
        <f>AND(Gagnasett!D126,"AAAAAFf6rOw=")</f>
        <v>#VALUE!</v>
      </c>
      <c r="ID6" t="e">
        <f>AND(Gagnasett!E126,"AAAAAFf6rO0=")</f>
        <v>#VALUE!</v>
      </c>
      <c r="IE6" t="e">
        <f>AND(Gagnasett!F126,"AAAAAFf6rO4=")</f>
        <v>#VALUE!</v>
      </c>
      <c r="IF6" t="e">
        <f>AND(Gagnasett!G126,"AAAAAFf6rO8=")</f>
        <v>#VALUE!</v>
      </c>
      <c r="IG6" t="e">
        <f>AND(Gagnasett!H126,"AAAAAFf6rPA=")</f>
        <v>#VALUE!</v>
      </c>
      <c r="IH6" t="e">
        <f>AND(Gagnasett!I126,"AAAAAFf6rPE=")</f>
        <v>#VALUE!</v>
      </c>
      <c r="II6" t="e">
        <f>AND(Gagnasett!J126,"AAAAAFf6rPI=")</f>
        <v>#VALUE!</v>
      </c>
      <c r="IJ6" t="e">
        <f>AND(Gagnasett!K126,"AAAAAFf6rPM=")</f>
        <v>#VALUE!</v>
      </c>
      <c r="IK6">
        <f>IF(Gagnasett!127:127,"AAAAAFf6rPQ=",0)</f>
        <v>0</v>
      </c>
      <c r="IL6" t="e">
        <f>AND(Gagnasett!A127,"AAAAAFf6rPU=")</f>
        <v>#VALUE!</v>
      </c>
      <c r="IM6" t="e">
        <f>AND(Gagnasett!B127,"AAAAAFf6rPY=")</f>
        <v>#VALUE!</v>
      </c>
      <c r="IN6" t="e">
        <f>AND(Gagnasett!C127,"AAAAAFf6rPc=")</f>
        <v>#VALUE!</v>
      </c>
      <c r="IO6" t="e">
        <f>AND(Gagnasett!D127,"AAAAAFf6rPg=")</f>
        <v>#VALUE!</v>
      </c>
      <c r="IP6" t="e">
        <f>AND(Gagnasett!E127,"AAAAAFf6rPk=")</f>
        <v>#VALUE!</v>
      </c>
      <c r="IQ6" t="e">
        <f>AND(Gagnasett!F127,"AAAAAFf6rPo=")</f>
        <v>#VALUE!</v>
      </c>
      <c r="IR6" t="e">
        <f>AND(Gagnasett!G127,"AAAAAFf6rPs=")</f>
        <v>#VALUE!</v>
      </c>
      <c r="IS6" t="e">
        <f>AND(Gagnasett!H127,"AAAAAFf6rPw=")</f>
        <v>#VALUE!</v>
      </c>
      <c r="IT6" t="e">
        <f>AND(Gagnasett!I127,"AAAAAFf6rP0=")</f>
        <v>#VALUE!</v>
      </c>
      <c r="IU6" t="e">
        <f>AND(Gagnasett!J127,"AAAAAFf6rP4=")</f>
        <v>#VALUE!</v>
      </c>
      <c r="IV6" t="e">
        <f>AND(Gagnasett!K127,"AAAAAFf6rP8=")</f>
        <v>#VALUE!</v>
      </c>
    </row>
    <row r="7" spans="1:256" x14ac:dyDescent="0.3">
      <c r="A7" t="e">
        <f>IF(Gagnasett!128:128,"AAAAAHudSwA=",0)</f>
        <v>#VALUE!</v>
      </c>
      <c r="B7" t="e">
        <f>AND(Gagnasett!A128,"AAAAAHudSwE=")</f>
        <v>#VALUE!</v>
      </c>
      <c r="C7" t="e">
        <f>AND(Gagnasett!B128,"AAAAAHudSwI=")</f>
        <v>#VALUE!</v>
      </c>
      <c r="D7" t="e">
        <f>AND(Gagnasett!C128,"AAAAAHudSwM=")</f>
        <v>#VALUE!</v>
      </c>
      <c r="E7" t="e">
        <f>AND(Gagnasett!D128,"AAAAAHudSwQ=")</f>
        <v>#VALUE!</v>
      </c>
      <c r="F7" t="e">
        <f>AND(Gagnasett!E128,"AAAAAHudSwU=")</f>
        <v>#VALUE!</v>
      </c>
      <c r="G7" t="e">
        <f>AND(Gagnasett!F128,"AAAAAHudSwY=")</f>
        <v>#VALUE!</v>
      </c>
      <c r="H7" t="e">
        <f>AND(Gagnasett!G128,"AAAAAHudSwc=")</f>
        <v>#VALUE!</v>
      </c>
      <c r="I7" t="e">
        <f>AND(Gagnasett!H128,"AAAAAHudSwg=")</f>
        <v>#VALUE!</v>
      </c>
      <c r="J7" t="e">
        <f>AND(Gagnasett!I128,"AAAAAHudSwk=")</f>
        <v>#VALUE!</v>
      </c>
      <c r="K7" t="e">
        <f>AND(Gagnasett!J128,"AAAAAHudSwo=")</f>
        <v>#VALUE!</v>
      </c>
      <c r="L7" t="e">
        <f>AND(Gagnasett!K128,"AAAAAHudSws=")</f>
        <v>#VALUE!</v>
      </c>
      <c r="M7">
        <f>IF(Gagnasett!129:129,"AAAAAHudSww=",0)</f>
        <v>0</v>
      </c>
      <c r="N7" t="e">
        <f>AND(Gagnasett!A129,"AAAAAHudSw0=")</f>
        <v>#VALUE!</v>
      </c>
      <c r="O7" t="e">
        <f>AND(Gagnasett!B129,"AAAAAHudSw4=")</f>
        <v>#VALUE!</v>
      </c>
      <c r="P7" t="e">
        <f>AND(Gagnasett!C129,"AAAAAHudSw8=")</f>
        <v>#VALUE!</v>
      </c>
      <c r="Q7" t="e">
        <f>AND(Gagnasett!D129,"AAAAAHudSxA=")</f>
        <v>#VALUE!</v>
      </c>
      <c r="R7" t="e">
        <f>AND(Gagnasett!E129,"AAAAAHudSxE=")</f>
        <v>#VALUE!</v>
      </c>
      <c r="S7" t="e">
        <f>AND(Gagnasett!F129,"AAAAAHudSxI=")</f>
        <v>#VALUE!</v>
      </c>
      <c r="T7" t="e">
        <f>AND(Gagnasett!G129,"AAAAAHudSxM=")</f>
        <v>#VALUE!</v>
      </c>
      <c r="U7" t="e">
        <f>AND(Gagnasett!H129,"AAAAAHudSxQ=")</f>
        <v>#VALUE!</v>
      </c>
      <c r="V7" t="e">
        <f>AND(Gagnasett!I129,"AAAAAHudSxU=")</f>
        <v>#VALUE!</v>
      </c>
      <c r="W7" t="e">
        <f>AND(Gagnasett!J129,"AAAAAHudSxY=")</f>
        <v>#VALUE!</v>
      </c>
      <c r="X7" t="e">
        <f>AND(Gagnasett!K129,"AAAAAHudSxc=")</f>
        <v>#VALUE!</v>
      </c>
      <c r="Y7">
        <f>IF(Gagnasett!130:130,"AAAAAHudSxg=",0)</f>
        <v>0</v>
      </c>
      <c r="Z7" t="e">
        <f>AND(Gagnasett!A130,"AAAAAHudSxk=")</f>
        <v>#VALUE!</v>
      </c>
      <c r="AA7" t="e">
        <f>AND(Gagnasett!B130,"AAAAAHudSxo=")</f>
        <v>#VALUE!</v>
      </c>
      <c r="AB7" t="e">
        <f>AND(Gagnasett!C130,"AAAAAHudSxs=")</f>
        <v>#VALUE!</v>
      </c>
      <c r="AC7" t="e">
        <f>AND(Gagnasett!D130,"AAAAAHudSxw=")</f>
        <v>#VALUE!</v>
      </c>
      <c r="AD7" t="e">
        <f>AND(Gagnasett!E130,"AAAAAHudSx0=")</f>
        <v>#VALUE!</v>
      </c>
      <c r="AE7" t="e">
        <f>AND(Gagnasett!F130,"AAAAAHudSx4=")</f>
        <v>#VALUE!</v>
      </c>
      <c r="AF7" t="e">
        <f>AND(Gagnasett!G130,"AAAAAHudSx8=")</f>
        <v>#VALUE!</v>
      </c>
      <c r="AG7" t="e">
        <f>AND(Gagnasett!H130,"AAAAAHudSyA=")</f>
        <v>#VALUE!</v>
      </c>
      <c r="AH7" t="e">
        <f>AND(Gagnasett!I130,"AAAAAHudSyE=")</f>
        <v>#VALUE!</v>
      </c>
      <c r="AI7" t="e">
        <f>AND(Gagnasett!J130,"AAAAAHudSyI=")</f>
        <v>#VALUE!</v>
      </c>
      <c r="AJ7" t="e">
        <f>AND(Gagnasett!K130,"AAAAAHudSyM=")</f>
        <v>#VALUE!</v>
      </c>
      <c r="AK7">
        <f>IF(Gagnasett!131:131,"AAAAAHudSyQ=",0)</f>
        <v>0</v>
      </c>
      <c r="AL7" t="e">
        <f>AND(Gagnasett!A131,"AAAAAHudSyU=")</f>
        <v>#VALUE!</v>
      </c>
      <c r="AM7" t="e">
        <f>AND(Gagnasett!B131,"AAAAAHudSyY=")</f>
        <v>#VALUE!</v>
      </c>
      <c r="AN7" t="e">
        <f>AND(Gagnasett!C131,"AAAAAHudSyc=")</f>
        <v>#VALUE!</v>
      </c>
      <c r="AO7" t="e">
        <f>AND(Gagnasett!D131,"AAAAAHudSyg=")</f>
        <v>#VALUE!</v>
      </c>
      <c r="AP7" t="e">
        <f>AND(Gagnasett!E131,"AAAAAHudSyk=")</f>
        <v>#VALUE!</v>
      </c>
      <c r="AQ7" t="e">
        <f>AND(Gagnasett!F131,"AAAAAHudSyo=")</f>
        <v>#VALUE!</v>
      </c>
      <c r="AR7" t="e">
        <f>AND(Gagnasett!G131,"AAAAAHudSys=")</f>
        <v>#VALUE!</v>
      </c>
      <c r="AS7" t="e">
        <f>AND(Gagnasett!H131,"AAAAAHudSyw=")</f>
        <v>#VALUE!</v>
      </c>
      <c r="AT7" t="e">
        <f>AND(Gagnasett!I131,"AAAAAHudSy0=")</f>
        <v>#VALUE!</v>
      </c>
      <c r="AU7" t="e">
        <f>AND(Gagnasett!J131,"AAAAAHudSy4=")</f>
        <v>#VALUE!</v>
      </c>
      <c r="AV7" t="e">
        <f>AND(Gagnasett!K131,"AAAAAHudSy8=")</f>
        <v>#VALUE!</v>
      </c>
      <c r="AW7">
        <f>IF(Gagnasett!132:132,"AAAAAHudSzA=",0)</f>
        <v>0</v>
      </c>
      <c r="AX7" t="e">
        <f>AND(Gagnasett!A132,"AAAAAHudSzE=")</f>
        <v>#VALUE!</v>
      </c>
      <c r="AY7" t="e">
        <f>AND(Gagnasett!B132,"AAAAAHudSzI=")</f>
        <v>#VALUE!</v>
      </c>
      <c r="AZ7" t="e">
        <f>AND(Gagnasett!C132,"AAAAAHudSzM=")</f>
        <v>#VALUE!</v>
      </c>
      <c r="BA7" t="e">
        <f>AND(Gagnasett!D132,"AAAAAHudSzQ=")</f>
        <v>#VALUE!</v>
      </c>
      <c r="BB7" t="e">
        <f>AND(Gagnasett!E132,"AAAAAHudSzU=")</f>
        <v>#VALUE!</v>
      </c>
      <c r="BC7" t="e">
        <f>AND(Gagnasett!F132,"AAAAAHudSzY=")</f>
        <v>#VALUE!</v>
      </c>
      <c r="BD7" t="e">
        <f>AND(Gagnasett!G132,"AAAAAHudSzc=")</f>
        <v>#VALUE!</v>
      </c>
      <c r="BE7" t="e">
        <f>AND(Gagnasett!H132,"AAAAAHudSzg=")</f>
        <v>#VALUE!</v>
      </c>
      <c r="BF7" t="e">
        <f>AND(Gagnasett!I132,"AAAAAHudSzk=")</f>
        <v>#VALUE!</v>
      </c>
      <c r="BG7" t="e">
        <f>AND(Gagnasett!J132,"AAAAAHudSzo=")</f>
        <v>#VALUE!</v>
      </c>
      <c r="BH7" t="e">
        <f>AND(Gagnasett!K132,"AAAAAHudSzs=")</f>
        <v>#VALUE!</v>
      </c>
      <c r="BI7">
        <f>IF(Gagnasett!133:133,"AAAAAHudSzw=",0)</f>
        <v>0</v>
      </c>
      <c r="BJ7" t="e">
        <f>AND(Gagnasett!A133,"AAAAAHudSz0=")</f>
        <v>#VALUE!</v>
      </c>
      <c r="BK7" t="e">
        <f>AND(Gagnasett!B133,"AAAAAHudSz4=")</f>
        <v>#VALUE!</v>
      </c>
      <c r="BL7" t="e">
        <f>AND(Gagnasett!C133,"AAAAAHudSz8=")</f>
        <v>#VALUE!</v>
      </c>
      <c r="BM7" t="e">
        <f>AND(Gagnasett!D133,"AAAAAHudS0A=")</f>
        <v>#VALUE!</v>
      </c>
      <c r="BN7" t="e">
        <f>AND(Gagnasett!E133,"AAAAAHudS0E=")</f>
        <v>#VALUE!</v>
      </c>
      <c r="BO7" t="e">
        <f>AND(Gagnasett!F133,"AAAAAHudS0I=")</f>
        <v>#VALUE!</v>
      </c>
      <c r="BP7" t="e">
        <f>AND(Gagnasett!G133,"AAAAAHudS0M=")</f>
        <v>#VALUE!</v>
      </c>
      <c r="BQ7" t="e">
        <f>AND(Gagnasett!H133,"AAAAAHudS0Q=")</f>
        <v>#VALUE!</v>
      </c>
      <c r="BR7" t="e">
        <f>AND(Gagnasett!I133,"AAAAAHudS0U=")</f>
        <v>#VALUE!</v>
      </c>
      <c r="BS7" t="e">
        <f>AND(Gagnasett!J133,"AAAAAHudS0Y=")</f>
        <v>#VALUE!</v>
      </c>
      <c r="BT7" t="e">
        <f>AND(Gagnasett!K133,"AAAAAHudS0c=")</f>
        <v>#VALUE!</v>
      </c>
      <c r="BU7">
        <f>IF(Gagnasett!134:134,"AAAAAHudS0g=",0)</f>
        <v>0</v>
      </c>
      <c r="BV7" t="e">
        <f>AND(Gagnasett!A134,"AAAAAHudS0k=")</f>
        <v>#VALUE!</v>
      </c>
      <c r="BW7" t="e">
        <f>AND(Gagnasett!B134,"AAAAAHudS0o=")</f>
        <v>#VALUE!</v>
      </c>
      <c r="BX7" t="e">
        <f>AND(Gagnasett!C134,"AAAAAHudS0s=")</f>
        <v>#VALUE!</v>
      </c>
      <c r="BY7" t="e">
        <f>AND(Gagnasett!D134,"AAAAAHudS0w=")</f>
        <v>#VALUE!</v>
      </c>
      <c r="BZ7" t="e">
        <f>AND(Gagnasett!E134,"AAAAAHudS00=")</f>
        <v>#VALUE!</v>
      </c>
      <c r="CA7" t="e">
        <f>AND(Gagnasett!F134,"AAAAAHudS04=")</f>
        <v>#VALUE!</v>
      </c>
      <c r="CB7" t="e">
        <f>AND(Gagnasett!G134,"AAAAAHudS08=")</f>
        <v>#VALUE!</v>
      </c>
      <c r="CC7" t="e">
        <f>AND(Gagnasett!H134,"AAAAAHudS1A=")</f>
        <v>#VALUE!</v>
      </c>
      <c r="CD7" t="e">
        <f>AND(Gagnasett!I134,"AAAAAHudS1E=")</f>
        <v>#VALUE!</v>
      </c>
      <c r="CE7" t="e">
        <f>AND(Gagnasett!J134,"AAAAAHudS1I=")</f>
        <v>#VALUE!</v>
      </c>
      <c r="CF7" t="e">
        <f>AND(Gagnasett!K134,"AAAAAHudS1M=")</f>
        <v>#VALUE!</v>
      </c>
      <c r="CG7">
        <f>IF(Gagnasett!135:135,"AAAAAHudS1Q=",0)</f>
        <v>0</v>
      </c>
      <c r="CH7" t="e">
        <f>AND(Gagnasett!A135,"AAAAAHudS1U=")</f>
        <v>#VALUE!</v>
      </c>
      <c r="CI7" t="e">
        <f>AND(Gagnasett!B135,"AAAAAHudS1Y=")</f>
        <v>#VALUE!</v>
      </c>
      <c r="CJ7" t="e">
        <f>AND(Gagnasett!C135,"AAAAAHudS1c=")</f>
        <v>#VALUE!</v>
      </c>
      <c r="CK7" t="e">
        <f>AND(Gagnasett!D135,"AAAAAHudS1g=")</f>
        <v>#VALUE!</v>
      </c>
      <c r="CL7" t="e">
        <f>AND(Gagnasett!E135,"AAAAAHudS1k=")</f>
        <v>#VALUE!</v>
      </c>
      <c r="CM7" t="e">
        <f>AND(Gagnasett!F135,"AAAAAHudS1o=")</f>
        <v>#VALUE!</v>
      </c>
      <c r="CN7" t="e">
        <f>AND(Gagnasett!G135,"AAAAAHudS1s=")</f>
        <v>#VALUE!</v>
      </c>
      <c r="CO7" t="e">
        <f>AND(Gagnasett!H135,"AAAAAHudS1w=")</f>
        <v>#VALUE!</v>
      </c>
      <c r="CP7" t="e">
        <f>AND(Gagnasett!I135,"AAAAAHudS10=")</f>
        <v>#VALUE!</v>
      </c>
      <c r="CQ7" t="e">
        <f>AND(Gagnasett!J135,"AAAAAHudS14=")</f>
        <v>#VALUE!</v>
      </c>
      <c r="CR7" t="e">
        <f>AND(Gagnasett!K135,"AAAAAHudS18=")</f>
        <v>#VALUE!</v>
      </c>
      <c r="CS7">
        <f>IF(Gagnasett!136:136,"AAAAAHudS2A=",0)</f>
        <v>0</v>
      </c>
      <c r="CT7" t="e">
        <f>AND(Gagnasett!A136,"AAAAAHudS2E=")</f>
        <v>#VALUE!</v>
      </c>
      <c r="CU7" t="e">
        <f>AND(Gagnasett!B136,"AAAAAHudS2I=")</f>
        <v>#VALUE!</v>
      </c>
      <c r="CV7" t="e">
        <f>AND(Gagnasett!C136,"AAAAAHudS2M=")</f>
        <v>#VALUE!</v>
      </c>
      <c r="CW7" t="e">
        <f>AND(Gagnasett!D136,"AAAAAHudS2Q=")</f>
        <v>#VALUE!</v>
      </c>
      <c r="CX7" t="e">
        <f>AND(Gagnasett!E136,"AAAAAHudS2U=")</f>
        <v>#VALUE!</v>
      </c>
      <c r="CY7" t="e">
        <f>AND(Gagnasett!F136,"AAAAAHudS2Y=")</f>
        <v>#VALUE!</v>
      </c>
      <c r="CZ7" t="e">
        <f>AND(Gagnasett!G136,"AAAAAHudS2c=")</f>
        <v>#VALUE!</v>
      </c>
      <c r="DA7" t="e">
        <f>AND(Gagnasett!H136,"AAAAAHudS2g=")</f>
        <v>#VALUE!</v>
      </c>
      <c r="DB7" t="e">
        <f>AND(Gagnasett!I136,"AAAAAHudS2k=")</f>
        <v>#VALUE!</v>
      </c>
      <c r="DC7" t="e">
        <f>AND(Gagnasett!J136,"AAAAAHudS2o=")</f>
        <v>#VALUE!</v>
      </c>
      <c r="DD7" t="e">
        <f>AND(Gagnasett!K136,"AAAAAHudS2s=")</f>
        <v>#VALUE!</v>
      </c>
      <c r="DE7">
        <f>IF(Gagnasett!137:137,"AAAAAHudS2w=",0)</f>
        <v>0</v>
      </c>
      <c r="DF7" t="e">
        <f>AND(Gagnasett!A137,"AAAAAHudS20=")</f>
        <v>#VALUE!</v>
      </c>
      <c r="DG7" t="e">
        <f>AND(Gagnasett!B137,"AAAAAHudS24=")</f>
        <v>#VALUE!</v>
      </c>
      <c r="DH7" t="e">
        <f>AND(Gagnasett!C137,"AAAAAHudS28=")</f>
        <v>#VALUE!</v>
      </c>
      <c r="DI7" t="e">
        <f>AND(Gagnasett!D137,"AAAAAHudS3A=")</f>
        <v>#VALUE!</v>
      </c>
      <c r="DJ7" t="e">
        <f>AND(Gagnasett!E137,"AAAAAHudS3E=")</f>
        <v>#VALUE!</v>
      </c>
      <c r="DK7" t="e">
        <f>AND(Gagnasett!F137,"AAAAAHudS3I=")</f>
        <v>#VALUE!</v>
      </c>
      <c r="DL7" t="e">
        <f>AND(Gagnasett!G137,"AAAAAHudS3M=")</f>
        <v>#VALUE!</v>
      </c>
      <c r="DM7" t="e">
        <f>AND(Gagnasett!H137,"AAAAAHudS3Q=")</f>
        <v>#VALUE!</v>
      </c>
      <c r="DN7" t="e">
        <f>AND(Gagnasett!I137,"AAAAAHudS3U=")</f>
        <v>#VALUE!</v>
      </c>
      <c r="DO7" t="e">
        <f>AND(Gagnasett!J137,"AAAAAHudS3Y=")</f>
        <v>#VALUE!</v>
      </c>
      <c r="DP7" t="e">
        <f>AND(Gagnasett!K137,"AAAAAHudS3c=")</f>
        <v>#VALUE!</v>
      </c>
      <c r="DQ7">
        <f>IF(Gagnasett!138:138,"AAAAAHudS3g=",0)</f>
        <v>0</v>
      </c>
      <c r="DR7" t="e">
        <f>AND(Gagnasett!A138,"AAAAAHudS3k=")</f>
        <v>#VALUE!</v>
      </c>
      <c r="DS7" t="e">
        <f>AND(Gagnasett!B138,"AAAAAHudS3o=")</f>
        <v>#VALUE!</v>
      </c>
      <c r="DT7" t="e">
        <f>AND(Gagnasett!C138,"AAAAAHudS3s=")</f>
        <v>#VALUE!</v>
      </c>
      <c r="DU7" t="e">
        <f>AND(Gagnasett!D138,"AAAAAHudS3w=")</f>
        <v>#VALUE!</v>
      </c>
      <c r="DV7" t="e">
        <f>AND(Gagnasett!E138,"AAAAAHudS30=")</f>
        <v>#VALUE!</v>
      </c>
      <c r="DW7" t="e">
        <f>AND(Gagnasett!F138,"AAAAAHudS34=")</f>
        <v>#VALUE!</v>
      </c>
      <c r="DX7" t="e">
        <f>AND(Gagnasett!G138,"AAAAAHudS38=")</f>
        <v>#VALUE!</v>
      </c>
      <c r="DY7" t="e">
        <f>AND(Gagnasett!H138,"AAAAAHudS4A=")</f>
        <v>#VALUE!</v>
      </c>
      <c r="DZ7" t="e">
        <f>AND(Gagnasett!I138,"AAAAAHudS4E=")</f>
        <v>#VALUE!</v>
      </c>
      <c r="EA7" t="e">
        <f>AND(Gagnasett!J138,"AAAAAHudS4I=")</f>
        <v>#VALUE!</v>
      </c>
      <c r="EB7" t="e">
        <f>AND(Gagnasett!K138,"AAAAAHudS4M=")</f>
        <v>#VALUE!</v>
      </c>
      <c r="EC7">
        <f>IF(Gagnasett!139:139,"AAAAAHudS4Q=",0)</f>
        <v>0</v>
      </c>
      <c r="ED7" t="e">
        <f>AND(Gagnasett!A139,"AAAAAHudS4U=")</f>
        <v>#VALUE!</v>
      </c>
      <c r="EE7" t="e">
        <f>AND(Gagnasett!B139,"AAAAAHudS4Y=")</f>
        <v>#VALUE!</v>
      </c>
      <c r="EF7" t="e">
        <f>AND(Gagnasett!C139,"AAAAAHudS4c=")</f>
        <v>#VALUE!</v>
      </c>
      <c r="EG7" t="e">
        <f>AND(Gagnasett!D139,"AAAAAHudS4g=")</f>
        <v>#VALUE!</v>
      </c>
      <c r="EH7" t="e">
        <f>AND(Gagnasett!E139,"AAAAAHudS4k=")</f>
        <v>#VALUE!</v>
      </c>
      <c r="EI7" t="e">
        <f>AND(Gagnasett!F139,"AAAAAHudS4o=")</f>
        <v>#VALUE!</v>
      </c>
      <c r="EJ7" t="e">
        <f>AND(Gagnasett!G139,"AAAAAHudS4s=")</f>
        <v>#VALUE!</v>
      </c>
      <c r="EK7" t="e">
        <f>AND(Gagnasett!H139,"AAAAAHudS4w=")</f>
        <v>#VALUE!</v>
      </c>
      <c r="EL7" t="e">
        <f>AND(Gagnasett!I139,"AAAAAHudS40=")</f>
        <v>#VALUE!</v>
      </c>
      <c r="EM7" t="e">
        <f>AND(Gagnasett!J139,"AAAAAHudS44=")</f>
        <v>#VALUE!</v>
      </c>
      <c r="EN7" t="e">
        <f>AND(Gagnasett!K139,"AAAAAHudS48=")</f>
        <v>#VALUE!</v>
      </c>
      <c r="EO7">
        <f>IF(Gagnasett!140:140,"AAAAAHudS5A=",0)</f>
        <v>0</v>
      </c>
      <c r="EP7" t="e">
        <f>AND(Gagnasett!A140,"AAAAAHudS5E=")</f>
        <v>#VALUE!</v>
      </c>
      <c r="EQ7" t="e">
        <f>AND(Gagnasett!B140,"AAAAAHudS5I=")</f>
        <v>#VALUE!</v>
      </c>
      <c r="ER7" t="e">
        <f>AND(Gagnasett!C140,"AAAAAHudS5M=")</f>
        <v>#VALUE!</v>
      </c>
      <c r="ES7" t="e">
        <f>AND(Gagnasett!D140,"AAAAAHudS5Q=")</f>
        <v>#VALUE!</v>
      </c>
      <c r="ET7" t="e">
        <f>AND(Gagnasett!E140,"AAAAAHudS5U=")</f>
        <v>#VALUE!</v>
      </c>
      <c r="EU7" t="e">
        <f>AND(Gagnasett!F140,"AAAAAHudS5Y=")</f>
        <v>#VALUE!</v>
      </c>
      <c r="EV7" t="e">
        <f>AND(Gagnasett!G140,"AAAAAHudS5c=")</f>
        <v>#VALUE!</v>
      </c>
      <c r="EW7" t="e">
        <f>AND(Gagnasett!H140,"AAAAAHudS5g=")</f>
        <v>#VALUE!</v>
      </c>
      <c r="EX7" t="e">
        <f>AND(Gagnasett!I140,"AAAAAHudS5k=")</f>
        <v>#VALUE!</v>
      </c>
      <c r="EY7" t="e">
        <f>AND(Gagnasett!J140,"AAAAAHudS5o=")</f>
        <v>#VALUE!</v>
      </c>
      <c r="EZ7" t="e">
        <f>AND(Gagnasett!K140,"AAAAAHudS5s=")</f>
        <v>#VALUE!</v>
      </c>
      <c r="FA7">
        <f>IF(Gagnasett!141:141,"AAAAAHudS5w=",0)</f>
        <v>0</v>
      </c>
      <c r="FB7" t="e">
        <f>AND(Gagnasett!A141,"AAAAAHudS50=")</f>
        <v>#VALUE!</v>
      </c>
      <c r="FC7" t="e">
        <f>AND(Gagnasett!B141,"AAAAAHudS54=")</f>
        <v>#VALUE!</v>
      </c>
      <c r="FD7" t="e">
        <f>AND(Gagnasett!C141,"AAAAAHudS58=")</f>
        <v>#VALUE!</v>
      </c>
      <c r="FE7" t="e">
        <f>AND(Gagnasett!D141,"AAAAAHudS6A=")</f>
        <v>#VALUE!</v>
      </c>
      <c r="FF7" t="e">
        <f>AND(Gagnasett!E141,"AAAAAHudS6E=")</f>
        <v>#VALUE!</v>
      </c>
      <c r="FG7" t="e">
        <f>AND(Gagnasett!F141,"AAAAAHudS6I=")</f>
        <v>#VALUE!</v>
      </c>
      <c r="FH7" t="e">
        <f>AND(Gagnasett!G141,"AAAAAHudS6M=")</f>
        <v>#VALUE!</v>
      </c>
      <c r="FI7" t="e">
        <f>AND(Gagnasett!H141,"AAAAAHudS6Q=")</f>
        <v>#VALUE!</v>
      </c>
      <c r="FJ7" t="e">
        <f>AND(Gagnasett!I141,"AAAAAHudS6U=")</f>
        <v>#VALUE!</v>
      </c>
      <c r="FK7" t="e">
        <f>AND(Gagnasett!J141,"AAAAAHudS6Y=")</f>
        <v>#VALUE!</v>
      </c>
      <c r="FL7" t="e">
        <f>AND(Gagnasett!K141,"AAAAAHudS6c=")</f>
        <v>#VALUE!</v>
      </c>
      <c r="FM7">
        <f>IF(Gagnasett!142:142,"AAAAAHudS6g=",0)</f>
        <v>0</v>
      </c>
      <c r="FN7" t="e">
        <f>AND(Gagnasett!A142,"AAAAAHudS6k=")</f>
        <v>#VALUE!</v>
      </c>
      <c r="FO7" t="e">
        <f>AND(Gagnasett!B142,"AAAAAHudS6o=")</f>
        <v>#VALUE!</v>
      </c>
      <c r="FP7" t="e">
        <f>AND(Gagnasett!C142,"AAAAAHudS6s=")</f>
        <v>#VALUE!</v>
      </c>
      <c r="FQ7" t="e">
        <f>AND(Gagnasett!D142,"AAAAAHudS6w=")</f>
        <v>#VALUE!</v>
      </c>
      <c r="FR7" t="e">
        <f>AND(Gagnasett!E142,"AAAAAHudS60=")</f>
        <v>#VALUE!</v>
      </c>
      <c r="FS7" t="e">
        <f>AND(Gagnasett!F142,"AAAAAHudS64=")</f>
        <v>#VALUE!</v>
      </c>
      <c r="FT7" t="e">
        <f>AND(Gagnasett!G142,"AAAAAHudS68=")</f>
        <v>#VALUE!</v>
      </c>
      <c r="FU7" t="e">
        <f>AND(Gagnasett!H142,"AAAAAHudS7A=")</f>
        <v>#VALUE!</v>
      </c>
      <c r="FV7" t="e">
        <f>AND(Gagnasett!I142,"AAAAAHudS7E=")</f>
        <v>#VALUE!</v>
      </c>
      <c r="FW7" t="e">
        <f>AND(Gagnasett!J142,"AAAAAHudS7I=")</f>
        <v>#VALUE!</v>
      </c>
      <c r="FX7" t="e">
        <f>AND(Gagnasett!K142,"AAAAAHudS7M=")</f>
        <v>#VALUE!</v>
      </c>
      <c r="FY7">
        <f>IF(Gagnasett!143:143,"AAAAAHudS7Q=",0)</f>
        <v>0</v>
      </c>
      <c r="FZ7" t="e">
        <f>AND(Gagnasett!A143,"AAAAAHudS7U=")</f>
        <v>#VALUE!</v>
      </c>
      <c r="GA7" t="e">
        <f>AND(Gagnasett!B143,"AAAAAHudS7Y=")</f>
        <v>#VALUE!</v>
      </c>
      <c r="GB7" t="e">
        <f>AND(Gagnasett!C143,"AAAAAHudS7c=")</f>
        <v>#VALUE!</v>
      </c>
      <c r="GC7" t="e">
        <f>AND(Gagnasett!D143,"AAAAAHudS7g=")</f>
        <v>#VALUE!</v>
      </c>
      <c r="GD7" t="e">
        <f>AND(Gagnasett!E143,"AAAAAHudS7k=")</f>
        <v>#VALUE!</v>
      </c>
      <c r="GE7" t="e">
        <f>AND(Gagnasett!F143,"AAAAAHudS7o=")</f>
        <v>#VALUE!</v>
      </c>
      <c r="GF7" t="e">
        <f>AND(Gagnasett!G143,"AAAAAHudS7s=")</f>
        <v>#VALUE!</v>
      </c>
      <c r="GG7" t="e">
        <f>AND(Gagnasett!H143,"AAAAAHudS7w=")</f>
        <v>#VALUE!</v>
      </c>
      <c r="GH7" t="e">
        <f>AND(Gagnasett!I143,"AAAAAHudS70=")</f>
        <v>#VALUE!</v>
      </c>
      <c r="GI7" t="e">
        <f>AND(Gagnasett!J143,"AAAAAHudS74=")</f>
        <v>#VALUE!</v>
      </c>
      <c r="GJ7" t="e">
        <f>AND(Gagnasett!K143,"AAAAAHudS78=")</f>
        <v>#VALUE!</v>
      </c>
      <c r="GK7">
        <f>IF(Gagnasett!144:144,"AAAAAHudS8A=",0)</f>
        <v>0</v>
      </c>
      <c r="GL7" t="e">
        <f>AND(Gagnasett!A144,"AAAAAHudS8E=")</f>
        <v>#VALUE!</v>
      </c>
      <c r="GM7" t="e">
        <f>AND(Gagnasett!B144,"AAAAAHudS8I=")</f>
        <v>#VALUE!</v>
      </c>
      <c r="GN7" t="e">
        <f>AND(Gagnasett!C144,"AAAAAHudS8M=")</f>
        <v>#VALUE!</v>
      </c>
      <c r="GO7" t="e">
        <f>AND(Gagnasett!D144,"AAAAAHudS8Q=")</f>
        <v>#VALUE!</v>
      </c>
      <c r="GP7" t="e">
        <f>AND(Gagnasett!E144,"AAAAAHudS8U=")</f>
        <v>#VALUE!</v>
      </c>
      <c r="GQ7" t="e">
        <f>AND(Gagnasett!F144,"AAAAAHudS8Y=")</f>
        <v>#VALUE!</v>
      </c>
      <c r="GR7" t="e">
        <f>AND(Gagnasett!G144,"AAAAAHudS8c=")</f>
        <v>#VALUE!</v>
      </c>
      <c r="GS7" t="e">
        <f>AND(Gagnasett!H144,"AAAAAHudS8g=")</f>
        <v>#VALUE!</v>
      </c>
      <c r="GT7" t="e">
        <f>AND(Gagnasett!I144,"AAAAAHudS8k=")</f>
        <v>#VALUE!</v>
      </c>
      <c r="GU7" t="e">
        <f>AND(Gagnasett!J144,"AAAAAHudS8o=")</f>
        <v>#VALUE!</v>
      </c>
      <c r="GV7" t="e">
        <f>AND(Gagnasett!K144,"AAAAAHudS8s=")</f>
        <v>#VALUE!</v>
      </c>
      <c r="GW7">
        <f>IF(Gagnasett!145:145,"AAAAAHudS8w=",0)</f>
        <v>0</v>
      </c>
      <c r="GX7" t="e">
        <f>AND(Gagnasett!A145,"AAAAAHudS80=")</f>
        <v>#VALUE!</v>
      </c>
      <c r="GY7" t="e">
        <f>AND(Gagnasett!B145,"AAAAAHudS84=")</f>
        <v>#VALUE!</v>
      </c>
      <c r="GZ7" t="e">
        <f>AND(Gagnasett!C145,"AAAAAHudS88=")</f>
        <v>#VALUE!</v>
      </c>
      <c r="HA7" t="e">
        <f>AND(Gagnasett!D145,"AAAAAHudS9A=")</f>
        <v>#VALUE!</v>
      </c>
      <c r="HB7" t="e">
        <f>AND(Gagnasett!E145,"AAAAAHudS9E=")</f>
        <v>#VALUE!</v>
      </c>
      <c r="HC7" t="e">
        <f>AND(Gagnasett!F145,"AAAAAHudS9I=")</f>
        <v>#VALUE!</v>
      </c>
      <c r="HD7" t="e">
        <f>AND(Gagnasett!G145,"AAAAAHudS9M=")</f>
        <v>#VALUE!</v>
      </c>
      <c r="HE7" t="e">
        <f>AND(Gagnasett!H145,"AAAAAHudS9Q=")</f>
        <v>#VALUE!</v>
      </c>
      <c r="HF7" t="e">
        <f>AND(Gagnasett!I145,"AAAAAHudS9U=")</f>
        <v>#VALUE!</v>
      </c>
      <c r="HG7" t="e">
        <f>AND(Gagnasett!J145,"AAAAAHudS9Y=")</f>
        <v>#VALUE!</v>
      </c>
      <c r="HH7" t="e">
        <f>AND(Gagnasett!K145,"AAAAAHudS9c=")</f>
        <v>#VALUE!</v>
      </c>
      <c r="HI7">
        <f>IF(Gagnasett!146:146,"AAAAAHudS9g=",0)</f>
        <v>0</v>
      </c>
      <c r="HJ7" t="e">
        <f>AND(Gagnasett!A146,"AAAAAHudS9k=")</f>
        <v>#VALUE!</v>
      </c>
      <c r="HK7" t="e">
        <f>AND(Gagnasett!B146,"AAAAAHudS9o=")</f>
        <v>#VALUE!</v>
      </c>
      <c r="HL7" t="e">
        <f>AND(Gagnasett!C146,"AAAAAHudS9s=")</f>
        <v>#VALUE!</v>
      </c>
      <c r="HM7" t="e">
        <f>AND(Gagnasett!D146,"AAAAAHudS9w=")</f>
        <v>#VALUE!</v>
      </c>
      <c r="HN7" t="e">
        <f>AND(Gagnasett!E146,"AAAAAHudS90=")</f>
        <v>#VALUE!</v>
      </c>
      <c r="HO7" t="e">
        <f>AND(Gagnasett!F146,"AAAAAHudS94=")</f>
        <v>#VALUE!</v>
      </c>
      <c r="HP7" t="e">
        <f>AND(Gagnasett!G146,"AAAAAHudS98=")</f>
        <v>#VALUE!</v>
      </c>
      <c r="HQ7" t="e">
        <f>AND(Gagnasett!H146,"AAAAAHudS+A=")</f>
        <v>#VALUE!</v>
      </c>
      <c r="HR7" t="e">
        <f>AND(Gagnasett!I146,"AAAAAHudS+E=")</f>
        <v>#VALUE!</v>
      </c>
      <c r="HS7" t="e">
        <f>AND(Gagnasett!J146,"AAAAAHudS+I=")</f>
        <v>#VALUE!</v>
      </c>
      <c r="HT7" t="e">
        <f>AND(Gagnasett!K146,"AAAAAHudS+M=")</f>
        <v>#VALUE!</v>
      </c>
      <c r="HU7">
        <f>IF(Gagnasett!147:147,"AAAAAHudS+Q=",0)</f>
        <v>0</v>
      </c>
      <c r="HV7" t="e">
        <f>AND(Gagnasett!A147,"AAAAAHudS+U=")</f>
        <v>#VALUE!</v>
      </c>
      <c r="HW7" t="e">
        <f>AND(Gagnasett!B147,"AAAAAHudS+Y=")</f>
        <v>#VALUE!</v>
      </c>
      <c r="HX7" t="e">
        <f>AND(Gagnasett!C147,"AAAAAHudS+c=")</f>
        <v>#VALUE!</v>
      </c>
      <c r="HY7" t="e">
        <f>AND(Gagnasett!D147,"AAAAAHudS+g=")</f>
        <v>#VALUE!</v>
      </c>
      <c r="HZ7" t="e">
        <f>AND(Gagnasett!E147,"AAAAAHudS+k=")</f>
        <v>#VALUE!</v>
      </c>
      <c r="IA7" t="e">
        <f>AND(Gagnasett!F147,"AAAAAHudS+o=")</f>
        <v>#VALUE!</v>
      </c>
      <c r="IB7" t="e">
        <f>AND(Gagnasett!G147,"AAAAAHudS+s=")</f>
        <v>#VALUE!</v>
      </c>
      <c r="IC7" t="e">
        <f>AND(Gagnasett!H147,"AAAAAHudS+w=")</f>
        <v>#VALUE!</v>
      </c>
      <c r="ID7" t="e">
        <f>AND(Gagnasett!I147,"AAAAAHudS+0=")</f>
        <v>#VALUE!</v>
      </c>
      <c r="IE7" t="e">
        <f>AND(Gagnasett!J147,"AAAAAHudS+4=")</f>
        <v>#VALUE!</v>
      </c>
      <c r="IF7" t="e">
        <f>AND(Gagnasett!K147,"AAAAAHudS+8=")</f>
        <v>#VALUE!</v>
      </c>
      <c r="IG7">
        <f>IF(Gagnasett!148:148,"AAAAAHudS/A=",0)</f>
        <v>0</v>
      </c>
      <c r="IH7" t="e">
        <f>AND(Gagnasett!A148,"AAAAAHudS/E=")</f>
        <v>#VALUE!</v>
      </c>
      <c r="II7" t="e">
        <f>AND(Gagnasett!B148,"AAAAAHudS/I=")</f>
        <v>#VALUE!</v>
      </c>
      <c r="IJ7" t="e">
        <f>AND(Gagnasett!C148,"AAAAAHudS/M=")</f>
        <v>#VALUE!</v>
      </c>
      <c r="IK7" t="e">
        <f>AND(Gagnasett!D148,"AAAAAHudS/Q=")</f>
        <v>#VALUE!</v>
      </c>
      <c r="IL7" t="e">
        <f>AND(Gagnasett!E148,"AAAAAHudS/U=")</f>
        <v>#VALUE!</v>
      </c>
      <c r="IM7" t="e">
        <f>AND(Gagnasett!F148,"AAAAAHudS/Y=")</f>
        <v>#VALUE!</v>
      </c>
      <c r="IN7" t="e">
        <f>AND(Gagnasett!G148,"AAAAAHudS/c=")</f>
        <v>#VALUE!</v>
      </c>
      <c r="IO7" t="e">
        <f>AND(Gagnasett!H148,"AAAAAHudS/g=")</f>
        <v>#VALUE!</v>
      </c>
      <c r="IP7" t="e">
        <f>AND(Gagnasett!I148,"AAAAAHudS/k=")</f>
        <v>#VALUE!</v>
      </c>
      <c r="IQ7" t="e">
        <f>AND(Gagnasett!J148,"AAAAAHudS/o=")</f>
        <v>#VALUE!</v>
      </c>
      <c r="IR7" t="e">
        <f>AND(Gagnasett!K148,"AAAAAHudS/s=")</f>
        <v>#VALUE!</v>
      </c>
      <c r="IS7">
        <f>IF(Gagnasett!149:149,"AAAAAHudS/w=",0)</f>
        <v>0</v>
      </c>
      <c r="IT7" t="e">
        <f>AND(Gagnasett!A149,"AAAAAHudS/0=")</f>
        <v>#VALUE!</v>
      </c>
      <c r="IU7" t="e">
        <f>AND(Gagnasett!B149,"AAAAAHudS/4=")</f>
        <v>#VALUE!</v>
      </c>
      <c r="IV7" t="e">
        <f>AND(Gagnasett!C149,"AAAAAHudS/8=")</f>
        <v>#VALUE!</v>
      </c>
    </row>
    <row r="8" spans="1:256" x14ac:dyDescent="0.3">
      <c r="A8" t="e">
        <f>AND(Gagnasett!D149,"AAAAAG/+3QA=")</f>
        <v>#VALUE!</v>
      </c>
      <c r="B8" t="e">
        <f>AND(Gagnasett!E149,"AAAAAG/+3QE=")</f>
        <v>#VALUE!</v>
      </c>
      <c r="C8" t="e">
        <f>AND(Gagnasett!F149,"AAAAAG/+3QI=")</f>
        <v>#VALUE!</v>
      </c>
      <c r="D8" t="e">
        <f>AND(Gagnasett!G149,"AAAAAG/+3QM=")</f>
        <v>#VALUE!</v>
      </c>
      <c r="E8" t="e">
        <f>AND(Gagnasett!H149,"AAAAAG/+3QQ=")</f>
        <v>#VALUE!</v>
      </c>
      <c r="F8" t="e">
        <f>AND(Gagnasett!I149,"AAAAAG/+3QU=")</f>
        <v>#VALUE!</v>
      </c>
      <c r="G8" t="e">
        <f>AND(Gagnasett!J149,"AAAAAG/+3QY=")</f>
        <v>#VALUE!</v>
      </c>
      <c r="H8" t="e">
        <f>AND(Gagnasett!K149,"AAAAAG/+3Qc=")</f>
        <v>#VALUE!</v>
      </c>
      <c r="I8" t="e">
        <f>IF(Gagnasett!150:150,"AAAAAG/+3Qg=",0)</f>
        <v>#VALUE!</v>
      </c>
      <c r="J8" t="e">
        <f>AND(Gagnasett!A150,"AAAAAG/+3Qk=")</f>
        <v>#VALUE!</v>
      </c>
      <c r="K8" t="e">
        <f>AND(Gagnasett!B150,"AAAAAG/+3Qo=")</f>
        <v>#VALUE!</v>
      </c>
      <c r="L8" t="e">
        <f>AND(Gagnasett!C150,"AAAAAG/+3Qs=")</f>
        <v>#VALUE!</v>
      </c>
      <c r="M8" t="e">
        <f>AND(Gagnasett!D150,"AAAAAG/+3Qw=")</f>
        <v>#VALUE!</v>
      </c>
      <c r="N8" t="e">
        <f>AND(Gagnasett!E150,"AAAAAG/+3Q0=")</f>
        <v>#VALUE!</v>
      </c>
      <c r="O8" t="e">
        <f>AND(Gagnasett!F150,"AAAAAG/+3Q4=")</f>
        <v>#VALUE!</v>
      </c>
      <c r="P8" t="e">
        <f>AND(Gagnasett!G150,"AAAAAG/+3Q8=")</f>
        <v>#VALUE!</v>
      </c>
      <c r="Q8" t="e">
        <f>AND(Gagnasett!H150,"AAAAAG/+3RA=")</f>
        <v>#VALUE!</v>
      </c>
      <c r="R8" t="e">
        <f>AND(Gagnasett!I150,"AAAAAG/+3RE=")</f>
        <v>#VALUE!</v>
      </c>
      <c r="S8" t="e">
        <f>AND(Gagnasett!J150,"AAAAAG/+3RI=")</f>
        <v>#VALUE!</v>
      </c>
      <c r="T8" t="e">
        <f>AND(Gagnasett!K150,"AAAAAG/+3RM=")</f>
        <v>#VALUE!</v>
      </c>
      <c r="U8">
        <f>IF(Gagnasett!151:151,"AAAAAG/+3RQ=",0)</f>
        <v>0</v>
      </c>
      <c r="V8" t="e">
        <f>AND(Gagnasett!A151,"AAAAAG/+3RU=")</f>
        <v>#VALUE!</v>
      </c>
      <c r="W8" t="e">
        <f>AND(Gagnasett!B151,"AAAAAG/+3RY=")</f>
        <v>#VALUE!</v>
      </c>
      <c r="X8" t="e">
        <f>AND(Gagnasett!C151,"AAAAAG/+3Rc=")</f>
        <v>#VALUE!</v>
      </c>
      <c r="Y8" t="e">
        <f>AND(Gagnasett!D151,"AAAAAG/+3Rg=")</f>
        <v>#VALUE!</v>
      </c>
      <c r="Z8" t="e">
        <f>AND(Gagnasett!E151,"AAAAAG/+3Rk=")</f>
        <v>#VALUE!</v>
      </c>
      <c r="AA8" t="e">
        <f>AND(Gagnasett!F151,"AAAAAG/+3Ro=")</f>
        <v>#VALUE!</v>
      </c>
      <c r="AB8" t="e">
        <f>AND(Gagnasett!G151,"AAAAAG/+3Rs=")</f>
        <v>#VALUE!</v>
      </c>
      <c r="AC8" t="e">
        <f>AND(Gagnasett!H151,"AAAAAG/+3Rw=")</f>
        <v>#VALUE!</v>
      </c>
      <c r="AD8" t="e">
        <f>AND(Gagnasett!I151,"AAAAAG/+3R0=")</f>
        <v>#VALUE!</v>
      </c>
      <c r="AE8" t="e">
        <f>AND(Gagnasett!J151,"AAAAAG/+3R4=")</f>
        <v>#VALUE!</v>
      </c>
      <c r="AF8" t="e">
        <f>AND(Gagnasett!K151,"AAAAAG/+3R8=")</f>
        <v>#VALUE!</v>
      </c>
      <c r="AG8">
        <f>IF(Gagnasett!152:152,"AAAAAG/+3SA=",0)</f>
        <v>0</v>
      </c>
      <c r="AH8" t="e">
        <f>AND(Gagnasett!A152,"AAAAAG/+3SE=")</f>
        <v>#VALUE!</v>
      </c>
      <c r="AI8" t="e">
        <f>AND(Gagnasett!B152,"AAAAAG/+3SI=")</f>
        <v>#VALUE!</v>
      </c>
      <c r="AJ8" t="e">
        <f>AND(Gagnasett!C152,"AAAAAG/+3SM=")</f>
        <v>#VALUE!</v>
      </c>
      <c r="AK8" t="e">
        <f>AND(Gagnasett!D152,"AAAAAG/+3SQ=")</f>
        <v>#VALUE!</v>
      </c>
      <c r="AL8" t="e">
        <f>AND(Gagnasett!E152,"AAAAAG/+3SU=")</f>
        <v>#VALUE!</v>
      </c>
      <c r="AM8" t="e">
        <f>AND(Gagnasett!F152,"AAAAAG/+3SY=")</f>
        <v>#VALUE!</v>
      </c>
      <c r="AN8" t="e">
        <f>AND(Gagnasett!G152,"AAAAAG/+3Sc=")</f>
        <v>#VALUE!</v>
      </c>
      <c r="AO8" t="e">
        <f>AND(Gagnasett!H152,"AAAAAG/+3Sg=")</f>
        <v>#VALUE!</v>
      </c>
      <c r="AP8" t="e">
        <f>AND(Gagnasett!I152,"AAAAAG/+3Sk=")</f>
        <v>#VALUE!</v>
      </c>
      <c r="AQ8" t="e">
        <f>AND(Gagnasett!J152,"AAAAAG/+3So=")</f>
        <v>#VALUE!</v>
      </c>
      <c r="AR8" t="e">
        <f>AND(Gagnasett!K152,"AAAAAG/+3Ss=")</f>
        <v>#VALUE!</v>
      </c>
      <c r="AS8">
        <f>IF(Gagnasett!153:153,"AAAAAG/+3Sw=",0)</f>
        <v>0</v>
      </c>
      <c r="AT8" t="e">
        <f>AND(Gagnasett!A153,"AAAAAG/+3S0=")</f>
        <v>#VALUE!</v>
      </c>
      <c r="AU8" t="e">
        <f>AND(Gagnasett!B153,"AAAAAG/+3S4=")</f>
        <v>#VALUE!</v>
      </c>
      <c r="AV8" t="e">
        <f>AND(Gagnasett!C153,"AAAAAG/+3S8=")</f>
        <v>#VALUE!</v>
      </c>
      <c r="AW8" t="e">
        <f>AND(Gagnasett!D153,"AAAAAG/+3TA=")</f>
        <v>#VALUE!</v>
      </c>
      <c r="AX8" t="e">
        <f>AND(Gagnasett!E153,"AAAAAG/+3TE=")</f>
        <v>#VALUE!</v>
      </c>
      <c r="AY8" t="e">
        <f>AND(Gagnasett!F153,"AAAAAG/+3TI=")</f>
        <v>#VALUE!</v>
      </c>
      <c r="AZ8" t="e">
        <f>AND(Gagnasett!G153,"AAAAAG/+3TM=")</f>
        <v>#VALUE!</v>
      </c>
      <c r="BA8" t="e">
        <f>AND(Gagnasett!H153,"AAAAAG/+3TQ=")</f>
        <v>#VALUE!</v>
      </c>
      <c r="BB8" t="e">
        <f>AND(Gagnasett!I153,"AAAAAG/+3TU=")</f>
        <v>#VALUE!</v>
      </c>
      <c r="BC8" t="e">
        <f>AND(Gagnasett!J153,"AAAAAG/+3TY=")</f>
        <v>#VALUE!</v>
      </c>
      <c r="BD8" t="e">
        <f>AND(Gagnasett!K153,"AAAAAG/+3Tc=")</f>
        <v>#VALUE!</v>
      </c>
      <c r="BE8">
        <f>IF(Gagnasett!154:154,"AAAAAG/+3Tg=",0)</f>
        <v>0</v>
      </c>
      <c r="BF8" t="e">
        <f>AND(Gagnasett!A154,"AAAAAG/+3Tk=")</f>
        <v>#VALUE!</v>
      </c>
      <c r="BG8" t="e">
        <f>AND(Gagnasett!B154,"AAAAAG/+3To=")</f>
        <v>#VALUE!</v>
      </c>
      <c r="BH8" t="e">
        <f>AND(Gagnasett!C154,"AAAAAG/+3Ts=")</f>
        <v>#VALUE!</v>
      </c>
      <c r="BI8" t="e">
        <f>AND(Gagnasett!D154,"AAAAAG/+3Tw=")</f>
        <v>#VALUE!</v>
      </c>
      <c r="BJ8" t="e">
        <f>AND(Gagnasett!E154,"AAAAAG/+3T0=")</f>
        <v>#VALUE!</v>
      </c>
      <c r="BK8" t="e">
        <f>AND(Gagnasett!F154,"AAAAAG/+3T4=")</f>
        <v>#VALUE!</v>
      </c>
      <c r="BL8" t="e">
        <f>AND(Gagnasett!G154,"AAAAAG/+3T8=")</f>
        <v>#VALUE!</v>
      </c>
      <c r="BM8" t="e">
        <f>AND(Gagnasett!H154,"AAAAAG/+3UA=")</f>
        <v>#VALUE!</v>
      </c>
      <c r="BN8" t="e">
        <f>AND(Gagnasett!I154,"AAAAAG/+3UE=")</f>
        <v>#VALUE!</v>
      </c>
      <c r="BO8" t="e">
        <f>AND(Gagnasett!J154,"AAAAAG/+3UI=")</f>
        <v>#VALUE!</v>
      </c>
      <c r="BP8" t="e">
        <f>AND(Gagnasett!K154,"AAAAAG/+3UM=")</f>
        <v>#VALUE!</v>
      </c>
      <c r="BQ8">
        <f>IF(Gagnasett!155:155,"AAAAAG/+3UQ=",0)</f>
        <v>0</v>
      </c>
      <c r="BR8" t="e">
        <f>AND(Gagnasett!A155,"AAAAAG/+3UU=")</f>
        <v>#VALUE!</v>
      </c>
      <c r="BS8" t="e">
        <f>AND(Gagnasett!B155,"AAAAAG/+3UY=")</f>
        <v>#VALUE!</v>
      </c>
      <c r="BT8" t="e">
        <f>AND(Gagnasett!C155,"AAAAAG/+3Uc=")</f>
        <v>#VALUE!</v>
      </c>
      <c r="BU8" t="e">
        <f>AND(Gagnasett!D155,"AAAAAG/+3Ug=")</f>
        <v>#VALUE!</v>
      </c>
      <c r="BV8" t="e">
        <f>AND(Gagnasett!E155,"AAAAAG/+3Uk=")</f>
        <v>#VALUE!</v>
      </c>
      <c r="BW8" t="e">
        <f>AND(Gagnasett!F155,"AAAAAG/+3Uo=")</f>
        <v>#VALUE!</v>
      </c>
      <c r="BX8" t="e">
        <f>AND(Gagnasett!G155,"AAAAAG/+3Us=")</f>
        <v>#VALUE!</v>
      </c>
      <c r="BY8" t="e">
        <f>AND(Gagnasett!H155,"AAAAAG/+3Uw=")</f>
        <v>#VALUE!</v>
      </c>
      <c r="BZ8" t="e">
        <f>AND(Gagnasett!I155,"AAAAAG/+3U0=")</f>
        <v>#VALUE!</v>
      </c>
      <c r="CA8" t="e">
        <f>AND(Gagnasett!J155,"AAAAAG/+3U4=")</f>
        <v>#VALUE!</v>
      </c>
      <c r="CB8" t="e">
        <f>AND(Gagnasett!K155,"AAAAAG/+3U8=")</f>
        <v>#VALUE!</v>
      </c>
      <c r="CC8">
        <f>IF(Gagnasett!156:156,"AAAAAG/+3VA=",0)</f>
        <v>0</v>
      </c>
      <c r="CD8" t="e">
        <f>AND(Gagnasett!A156,"AAAAAG/+3VE=")</f>
        <v>#VALUE!</v>
      </c>
      <c r="CE8" t="e">
        <f>AND(Gagnasett!B156,"AAAAAG/+3VI=")</f>
        <v>#VALUE!</v>
      </c>
      <c r="CF8" t="e">
        <f>AND(Gagnasett!C156,"AAAAAG/+3VM=")</f>
        <v>#VALUE!</v>
      </c>
      <c r="CG8" t="e">
        <f>AND(Gagnasett!D156,"AAAAAG/+3VQ=")</f>
        <v>#VALUE!</v>
      </c>
      <c r="CH8" t="e">
        <f>AND(Gagnasett!E156,"AAAAAG/+3VU=")</f>
        <v>#VALUE!</v>
      </c>
      <c r="CI8" t="e">
        <f>AND(Gagnasett!F156,"AAAAAG/+3VY=")</f>
        <v>#VALUE!</v>
      </c>
      <c r="CJ8" t="e">
        <f>AND(Gagnasett!G156,"AAAAAG/+3Vc=")</f>
        <v>#VALUE!</v>
      </c>
      <c r="CK8" t="e">
        <f>AND(Gagnasett!H156,"AAAAAG/+3Vg=")</f>
        <v>#VALUE!</v>
      </c>
      <c r="CL8" t="e">
        <f>AND(Gagnasett!I156,"AAAAAG/+3Vk=")</f>
        <v>#VALUE!</v>
      </c>
      <c r="CM8" t="e">
        <f>AND(Gagnasett!J156,"AAAAAG/+3Vo=")</f>
        <v>#VALUE!</v>
      </c>
      <c r="CN8" t="e">
        <f>AND(Gagnasett!K156,"AAAAAG/+3Vs=")</f>
        <v>#VALUE!</v>
      </c>
      <c r="CO8">
        <f>IF(Gagnasett!157:157,"AAAAAG/+3Vw=",0)</f>
        <v>0</v>
      </c>
      <c r="CP8" t="e">
        <f>AND(Gagnasett!A157,"AAAAAG/+3V0=")</f>
        <v>#VALUE!</v>
      </c>
      <c r="CQ8" t="e">
        <f>AND(Gagnasett!B157,"AAAAAG/+3V4=")</f>
        <v>#VALUE!</v>
      </c>
      <c r="CR8" t="e">
        <f>AND(Gagnasett!C157,"AAAAAG/+3V8=")</f>
        <v>#VALUE!</v>
      </c>
      <c r="CS8" t="e">
        <f>AND(Gagnasett!D157,"AAAAAG/+3WA=")</f>
        <v>#VALUE!</v>
      </c>
      <c r="CT8" t="e">
        <f>AND(Gagnasett!E157,"AAAAAG/+3WE=")</f>
        <v>#VALUE!</v>
      </c>
      <c r="CU8" t="e">
        <f>AND(Gagnasett!F157,"AAAAAG/+3WI=")</f>
        <v>#VALUE!</v>
      </c>
      <c r="CV8" t="e">
        <f>AND(Gagnasett!G157,"AAAAAG/+3WM=")</f>
        <v>#VALUE!</v>
      </c>
      <c r="CW8" t="e">
        <f>AND(Gagnasett!H157,"AAAAAG/+3WQ=")</f>
        <v>#VALUE!</v>
      </c>
      <c r="CX8" t="e">
        <f>AND(Gagnasett!I157,"AAAAAG/+3WU=")</f>
        <v>#VALUE!</v>
      </c>
      <c r="CY8" t="e">
        <f>AND(Gagnasett!J157,"AAAAAG/+3WY=")</f>
        <v>#VALUE!</v>
      </c>
      <c r="CZ8" t="e">
        <f>AND(Gagnasett!K157,"AAAAAG/+3Wc=")</f>
        <v>#VALUE!</v>
      </c>
      <c r="DA8">
        <f>IF(Gagnasett!158:158,"AAAAAG/+3Wg=",0)</f>
        <v>0</v>
      </c>
      <c r="DB8" t="e">
        <f>AND(Gagnasett!A158,"AAAAAG/+3Wk=")</f>
        <v>#VALUE!</v>
      </c>
      <c r="DC8" t="e">
        <f>AND(Gagnasett!B158,"AAAAAG/+3Wo=")</f>
        <v>#VALUE!</v>
      </c>
      <c r="DD8" t="e">
        <f>AND(Gagnasett!C158,"AAAAAG/+3Ws=")</f>
        <v>#VALUE!</v>
      </c>
      <c r="DE8" t="e">
        <f>AND(Gagnasett!D158,"AAAAAG/+3Ww=")</f>
        <v>#VALUE!</v>
      </c>
      <c r="DF8" t="e">
        <f>AND(Gagnasett!E158,"AAAAAG/+3W0=")</f>
        <v>#VALUE!</v>
      </c>
      <c r="DG8" t="e">
        <f>AND(Gagnasett!F158,"AAAAAG/+3W4=")</f>
        <v>#VALUE!</v>
      </c>
      <c r="DH8" t="e">
        <f>AND(Gagnasett!G158,"AAAAAG/+3W8=")</f>
        <v>#VALUE!</v>
      </c>
      <c r="DI8" t="e">
        <f>AND(Gagnasett!H158,"AAAAAG/+3XA=")</f>
        <v>#VALUE!</v>
      </c>
      <c r="DJ8" t="e">
        <f>AND(Gagnasett!I158,"AAAAAG/+3XE=")</f>
        <v>#VALUE!</v>
      </c>
      <c r="DK8" t="e">
        <f>AND(Gagnasett!J158,"AAAAAG/+3XI=")</f>
        <v>#VALUE!</v>
      </c>
      <c r="DL8" t="e">
        <f>AND(Gagnasett!K158,"AAAAAG/+3XM=")</f>
        <v>#VALUE!</v>
      </c>
      <c r="DM8">
        <f>IF(Gagnasett!159:159,"AAAAAG/+3XQ=",0)</f>
        <v>0</v>
      </c>
      <c r="DN8" t="e">
        <f>AND(Gagnasett!A159,"AAAAAG/+3XU=")</f>
        <v>#VALUE!</v>
      </c>
      <c r="DO8" t="e">
        <f>AND(Gagnasett!B159,"AAAAAG/+3XY=")</f>
        <v>#VALUE!</v>
      </c>
      <c r="DP8" t="e">
        <f>AND(Gagnasett!C159,"AAAAAG/+3Xc=")</f>
        <v>#VALUE!</v>
      </c>
      <c r="DQ8" t="e">
        <f>AND(Gagnasett!D159,"AAAAAG/+3Xg=")</f>
        <v>#VALUE!</v>
      </c>
      <c r="DR8" t="e">
        <f>AND(Gagnasett!E159,"AAAAAG/+3Xk=")</f>
        <v>#VALUE!</v>
      </c>
      <c r="DS8" t="e">
        <f>AND(Gagnasett!F159,"AAAAAG/+3Xo=")</f>
        <v>#VALUE!</v>
      </c>
      <c r="DT8" t="e">
        <f>AND(Gagnasett!G159,"AAAAAG/+3Xs=")</f>
        <v>#VALUE!</v>
      </c>
      <c r="DU8" t="e">
        <f>AND(Gagnasett!H159,"AAAAAG/+3Xw=")</f>
        <v>#VALUE!</v>
      </c>
      <c r="DV8" t="e">
        <f>AND(Gagnasett!I159,"AAAAAG/+3X0=")</f>
        <v>#VALUE!</v>
      </c>
      <c r="DW8" t="e">
        <f>AND(Gagnasett!J159,"AAAAAG/+3X4=")</f>
        <v>#VALUE!</v>
      </c>
      <c r="DX8" t="e">
        <f>AND(Gagnasett!K159,"AAAAAG/+3X8=")</f>
        <v>#VALUE!</v>
      </c>
      <c r="DY8">
        <f>IF(Gagnasett!160:160,"AAAAAG/+3YA=",0)</f>
        <v>0</v>
      </c>
      <c r="DZ8" t="e">
        <f>AND(Gagnasett!A160,"AAAAAG/+3YE=")</f>
        <v>#VALUE!</v>
      </c>
      <c r="EA8" t="e">
        <f>AND(Gagnasett!B160,"AAAAAG/+3YI=")</f>
        <v>#VALUE!</v>
      </c>
      <c r="EB8" t="e">
        <f>AND(Gagnasett!C160,"AAAAAG/+3YM=")</f>
        <v>#VALUE!</v>
      </c>
      <c r="EC8" t="e">
        <f>AND(Gagnasett!D160,"AAAAAG/+3YQ=")</f>
        <v>#VALUE!</v>
      </c>
      <c r="ED8" t="e">
        <f>AND(Gagnasett!E160,"AAAAAG/+3YU=")</f>
        <v>#VALUE!</v>
      </c>
      <c r="EE8" t="e">
        <f>AND(Gagnasett!F160,"AAAAAG/+3YY=")</f>
        <v>#VALUE!</v>
      </c>
      <c r="EF8" t="e">
        <f>AND(Gagnasett!G160,"AAAAAG/+3Yc=")</f>
        <v>#VALUE!</v>
      </c>
      <c r="EG8" t="e">
        <f>AND(Gagnasett!H160,"AAAAAG/+3Yg=")</f>
        <v>#VALUE!</v>
      </c>
      <c r="EH8" t="e">
        <f>AND(Gagnasett!I160,"AAAAAG/+3Yk=")</f>
        <v>#VALUE!</v>
      </c>
      <c r="EI8" t="e">
        <f>AND(Gagnasett!J160,"AAAAAG/+3Yo=")</f>
        <v>#VALUE!</v>
      </c>
      <c r="EJ8" t="e">
        <f>AND(Gagnasett!K160,"AAAAAG/+3Ys=")</f>
        <v>#VALUE!</v>
      </c>
      <c r="EK8">
        <f>IF(Gagnasett!161:161,"AAAAAG/+3Yw=",0)</f>
        <v>0</v>
      </c>
      <c r="EL8" t="e">
        <f>AND(Gagnasett!A161,"AAAAAG/+3Y0=")</f>
        <v>#VALUE!</v>
      </c>
      <c r="EM8" t="e">
        <f>AND(Gagnasett!B161,"AAAAAG/+3Y4=")</f>
        <v>#VALUE!</v>
      </c>
      <c r="EN8" t="e">
        <f>AND(Gagnasett!C161,"AAAAAG/+3Y8=")</f>
        <v>#VALUE!</v>
      </c>
      <c r="EO8" t="e">
        <f>AND(Gagnasett!D161,"AAAAAG/+3ZA=")</f>
        <v>#VALUE!</v>
      </c>
      <c r="EP8" t="e">
        <f>AND(Gagnasett!E161,"AAAAAG/+3ZE=")</f>
        <v>#VALUE!</v>
      </c>
      <c r="EQ8" t="e">
        <f>AND(Gagnasett!F161,"AAAAAG/+3ZI=")</f>
        <v>#VALUE!</v>
      </c>
      <c r="ER8" t="e">
        <f>AND(Gagnasett!G161,"AAAAAG/+3ZM=")</f>
        <v>#VALUE!</v>
      </c>
      <c r="ES8" t="e">
        <f>AND(Gagnasett!H161,"AAAAAG/+3ZQ=")</f>
        <v>#VALUE!</v>
      </c>
      <c r="ET8" t="e">
        <f>AND(Gagnasett!I161,"AAAAAG/+3ZU=")</f>
        <v>#VALUE!</v>
      </c>
      <c r="EU8" t="e">
        <f>AND(Gagnasett!J161,"AAAAAG/+3ZY=")</f>
        <v>#VALUE!</v>
      </c>
      <c r="EV8" t="e">
        <f>AND(Gagnasett!K161,"AAAAAG/+3Zc=")</f>
        <v>#VALUE!</v>
      </c>
      <c r="EW8">
        <f>IF(Gagnasett!162:162,"AAAAAG/+3Zg=",0)</f>
        <v>0</v>
      </c>
      <c r="EX8" t="e">
        <f>AND(Gagnasett!A162,"AAAAAG/+3Zk=")</f>
        <v>#VALUE!</v>
      </c>
      <c r="EY8" t="e">
        <f>AND(Gagnasett!B162,"AAAAAG/+3Zo=")</f>
        <v>#VALUE!</v>
      </c>
      <c r="EZ8" t="e">
        <f>AND(Gagnasett!C162,"AAAAAG/+3Zs=")</f>
        <v>#VALUE!</v>
      </c>
      <c r="FA8" t="e">
        <f>AND(Gagnasett!D162,"AAAAAG/+3Zw=")</f>
        <v>#VALUE!</v>
      </c>
      <c r="FB8" t="e">
        <f>AND(Gagnasett!E162,"AAAAAG/+3Z0=")</f>
        <v>#VALUE!</v>
      </c>
      <c r="FC8" t="e">
        <f>AND(Gagnasett!F162,"AAAAAG/+3Z4=")</f>
        <v>#VALUE!</v>
      </c>
      <c r="FD8" t="e">
        <f>AND(Gagnasett!G162,"AAAAAG/+3Z8=")</f>
        <v>#VALUE!</v>
      </c>
      <c r="FE8" t="e">
        <f>AND(Gagnasett!H162,"AAAAAG/+3aA=")</f>
        <v>#VALUE!</v>
      </c>
      <c r="FF8" t="e">
        <f>AND(Gagnasett!I162,"AAAAAG/+3aE=")</f>
        <v>#VALUE!</v>
      </c>
      <c r="FG8" t="e">
        <f>AND(Gagnasett!J162,"AAAAAG/+3aI=")</f>
        <v>#VALUE!</v>
      </c>
      <c r="FH8" t="e">
        <f>AND(Gagnasett!K162,"AAAAAG/+3aM=")</f>
        <v>#VALUE!</v>
      </c>
      <c r="FI8">
        <f>IF(Gagnasett!163:163,"AAAAAG/+3aQ=",0)</f>
        <v>0</v>
      </c>
      <c r="FJ8" t="e">
        <f>AND(Gagnasett!A163,"AAAAAG/+3aU=")</f>
        <v>#VALUE!</v>
      </c>
      <c r="FK8" t="e">
        <f>AND(Gagnasett!B163,"AAAAAG/+3aY=")</f>
        <v>#VALUE!</v>
      </c>
      <c r="FL8" t="e">
        <f>AND(Gagnasett!C163,"AAAAAG/+3ac=")</f>
        <v>#VALUE!</v>
      </c>
      <c r="FM8" t="e">
        <f>AND(Gagnasett!D163,"AAAAAG/+3ag=")</f>
        <v>#VALUE!</v>
      </c>
      <c r="FN8" t="e">
        <f>AND(Gagnasett!E163,"AAAAAG/+3ak=")</f>
        <v>#VALUE!</v>
      </c>
      <c r="FO8" t="e">
        <f>AND(Gagnasett!F163,"AAAAAG/+3ao=")</f>
        <v>#VALUE!</v>
      </c>
      <c r="FP8" t="e">
        <f>AND(Gagnasett!G163,"AAAAAG/+3as=")</f>
        <v>#VALUE!</v>
      </c>
      <c r="FQ8" t="e">
        <f>AND(Gagnasett!H163,"AAAAAG/+3aw=")</f>
        <v>#VALUE!</v>
      </c>
      <c r="FR8" t="e">
        <f>AND(Gagnasett!I163,"AAAAAG/+3a0=")</f>
        <v>#VALUE!</v>
      </c>
      <c r="FS8" t="e">
        <f>AND(Gagnasett!J163,"AAAAAG/+3a4=")</f>
        <v>#VALUE!</v>
      </c>
      <c r="FT8" t="e">
        <f>AND(Gagnasett!K163,"AAAAAG/+3a8=")</f>
        <v>#VALUE!</v>
      </c>
      <c r="FU8">
        <f>IF(Gagnasett!164:164,"AAAAAG/+3bA=",0)</f>
        <v>0</v>
      </c>
      <c r="FV8" t="e">
        <f>AND(Gagnasett!A164,"AAAAAG/+3bE=")</f>
        <v>#VALUE!</v>
      </c>
      <c r="FW8" t="e">
        <f>AND(Gagnasett!B164,"AAAAAG/+3bI=")</f>
        <v>#VALUE!</v>
      </c>
      <c r="FX8" t="e">
        <f>AND(Gagnasett!C164,"AAAAAG/+3bM=")</f>
        <v>#VALUE!</v>
      </c>
      <c r="FY8" t="e">
        <f>AND(Gagnasett!D164,"AAAAAG/+3bQ=")</f>
        <v>#VALUE!</v>
      </c>
      <c r="FZ8" t="e">
        <f>AND(Gagnasett!E164,"AAAAAG/+3bU=")</f>
        <v>#VALUE!</v>
      </c>
      <c r="GA8" t="e">
        <f>AND(Gagnasett!F164,"AAAAAG/+3bY=")</f>
        <v>#VALUE!</v>
      </c>
      <c r="GB8" t="e">
        <f>AND(Gagnasett!G164,"AAAAAG/+3bc=")</f>
        <v>#VALUE!</v>
      </c>
      <c r="GC8" t="e">
        <f>AND(Gagnasett!H164,"AAAAAG/+3bg=")</f>
        <v>#VALUE!</v>
      </c>
      <c r="GD8" t="e">
        <f>AND(Gagnasett!I164,"AAAAAG/+3bk=")</f>
        <v>#VALUE!</v>
      </c>
      <c r="GE8" t="e">
        <f>AND(Gagnasett!J164,"AAAAAG/+3bo=")</f>
        <v>#VALUE!</v>
      </c>
      <c r="GF8" t="e">
        <f>AND(Gagnasett!K164,"AAAAAG/+3bs=")</f>
        <v>#VALUE!</v>
      </c>
      <c r="GG8">
        <f>IF(Gagnasett!165:165,"AAAAAG/+3bw=",0)</f>
        <v>0</v>
      </c>
      <c r="GH8" t="e">
        <f>AND(Gagnasett!A165,"AAAAAG/+3b0=")</f>
        <v>#VALUE!</v>
      </c>
      <c r="GI8" t="e">
        <f>AND(Gagnasett!B165,"AAAAAG/+3b4=")</f>
        <v>#VALUE!</v>
      </c>
      <c r="GJ8" t="e">
        <f>AND(Gagnasett!C165,"AAAAAG/+3b8=")</f>
        <v>#VALUE!</v>
      </c>
      <c r="GK8" t="e">
        <f>AND(Gagnasett!D165,"AAAAAG/+3cA=")</f>
        <v>#VALUE!</v>
      </c>
      <c r="GL8" t="e">
        <f>AND(Gagnasett!E165,"AAAAAG/+3cE=")</f>
        <v>#VALUE!</v>
      </c>
      <c r="GM8" t="e">
        <f>AND(Gagnasett!F165,"AAAAAG/+3cI=")</f>
        <v>#VALUE!</v>
      </c>
      <c r="GN8" t="e">
        <f>AND(Gagnasett!G165,"AAAAAG/+3cM=")</f>
        <v>#VALUE!</v>
      </c>
      <c r="GO8" t="e">
        <f>AND(Gagnasett!H165,"AAAAAG/+3cQ=")</f>
        <v>#VALUE!</v>
      </c>
      <c r="GP8" t="e">
        <f>AND(Gagnasett!I165,"AAAAAG/+3cU=")</f>
        <v>#VALUE!</v>
      </c>
      <c r="GQ8" t="e">
        <f>AND(Gagnasett!J165,"AAAAAG/+3cY=")</f>
        <v>#VALUE!</v>
      </c>
      <c r="GR8" t="e">
        <f>AND(Gagnasett!K165,"AAAAAG/+3cc=")</f>
        <v>#VALUE!</v>
      </c>
      <c r="GS8">
        <f>IF(Gagnasett!166:166,"AAAAAG/+3cg=",0)</f>
        <v>0</v>
      </c>
      <c r="GT8" t="e">
        <f>AND(Gagnasett!A166,"AAAAAG/+3ck=")</f>
        <v>#VALUE!</v>
      </c>
      <c r="GU8" t="e">
        <f>AND(Gagnasett!B166,"AAAAAG/+3co=")</f>
        <v>#VALUE!</v>
      </c>
      <c r="GV8" t="e">
        <f>AND(Gagnasett!C166,"AAAAAG/+3cs=")</f>
        <v>#VALUE!</v>
      </c>
      <c r="GW8" t="e">
        <f>AND(Gagnasett!D166,"AAAAAG/+3cw=")</f>
        <v>#VALUE!</v>
      </c>
      <c r="GX8" t="e">
        <f>AND(Gagnasett!E166,"AAAAAG/+3c0=")</f>
        <v>#VALUE!</v>
      </c>
      <c r="GY8" t="e">
        <f>AND(Gagnasett!F166,"AAAAAG/+3c4=")</f>
        <v>#VALUE!</v>
      </c>
      <c r="GZ8" t="e">
        <f>AND(Gagnasett!G166,"AAAAAG/+3c8=")</f>
        <v>#VALUE!</v>
      </c>
      <c r="HA8" t="e">
        <f>AND(Gagnasett!H166,"AAAAAG/+3dA=")</f>
        <v>#VALUE!</v>
      </c>
      <c r="HB8" t="e">
        <f>AND(Gagnasett!I166,"AAAAAG/+3dE=")</f>
        <v>#VALUE!</v>
      </c>
      <c r="HC8" t="e">
        <f>AND(Gagnasett!J166,"AAAAAG/+3dI=")</f>
        <v>#VALUE!</v>
      </c>
      <c r="HD8" t="e">
        <f>AND(Gagnasett!K166,"AAAAAG/+3dM=")</f>
        <v>#VALUE!</v>
      </c>
      <c r="HE8">
        <f>IF(Gagnasett!167:167,"AAAAAG/+3dQ=",0)</f>
        <v>0</v>
      </c>
      <c r="HF8" t="e">
        <f>AND(Gagnasett!A167,"AAAAAG/+3dU=")</f>
        <v>#VALUE!</v>
      </c>
      <c r="HG8" t="e">
        <f>AND(Gagnasett!B167,"AAAAAG/+3dY=")</f>
        <v>#VALUE!</v>
      </c>
      <c r="HH8" t="e">
        <f>AND(Gagnasett!C167,"AAAAAG/+3dc=")</f>
        <v>#VALUE!</v>
      </c>
      <c r="HI8" t="e">
        <f>AND(Gagnasett!D167,"AAAAAG/+3dg=")</f>
        <v>#VALUE!</v>
      </c>
      <c r="HJ8" t="e">
        <f>AND(Gagnasett!E167,"AAAAAG/+3dk=")</f>
        <v>#VALUE!</v>
      </c>
      <c r="HK8" t="e">
        <f>AND(Gagnasett!F167,"AAAAAG/+3do=")</f>
        <v>#VALUE!</v>
      </c>
      <c r="HL8" t="e">
        <f>AND(Gagnasett!G167,"AAAAAG/+3ds=")</f>
        <v>#VALUE!</v>
      </c>
      <c r="HM8" t="e">
        <f>AND(Gagnasett!H167,"AAAAAG/+3dw=")</f>
        <v>#VALUE!</v>
      </c>
      <c r="HN8" t="e">
        <f>AND(Gagnasett!I167,"AAAAAG/+3d0=")</f>
        <v>#VALUE!</v>
      </c>
      <c r="HO8" t="e">
        <f>AND(Gagnasett!J167,"AAAAAG/+3d4=")</f>
        <v>#VALUE!</v>
      </c>
      <c r="HP8" t="e">
        <f>AND(Gagnasett!K167,"AAAAAG/+3d8=")</f>
        <v>#VALUE!</v>
      </c>
      <c r="HQ8">
        <f>IF(Gagnasett!168:168,"AAAAAG/+3eA=",0)</f>
        <v>0</v>
      </c>
      <c r="HR8" t="e">
        <f>AND(Gagnasett!A168,"AAAAAG/+3eE=")</f>
        <v>#VALUE!</v>
      </c>
      <c r="HS8" t="e">
        <f>AND(Gagnasett!B168,"AAAAAG/+3eI=")</f>
        <v>#VALUE!</v>
      </c>
      <c r="HT8" t="e">
        <f>AND(Gagnasett!C168,"AAAAAG/+3eM=")</f>
        <v>#VALUE!</v>
      </c>
      <c r="HU8" t="e">
        <f>AND(Gagnasett!D168,"AAAAAG/+3eQ=")</f>
        <v>#VALUE!</v>
      </c>
      <c r="HV8" t="e">
        <f>AND(Gagnasett!E168,"AAAAAG/+3eU=")</f>
        <v>#VALUE!</v>
      </c>
      <c r="HW8" t="e">
        <f>AND(Gagnasett!F168,"AAAAAG/+3eY=")</f>
        <v>#VALUE!</v>
      </c>
      <c r="HX8" t="e">
        <f>AND(Gagnasett!G168,"AAAAAG/+3ec=")</f>
        <v>#VALUE!</v>
      </c>
      <c r="HY8" t="e">
        <f>AND(Gagnasett!H168,"AAAAAG/+3eg=")</f>
        <v>#VALUE!</v>
      </c>
      <c r="HZ8" t="e">
        <f>AND(Gagnasett!I168,"AAAAAG/+3ek=")</f>
        <v>#VALUE!</v>
      </c>
      <c r="IA8" t="e">
        <f>AND(Gagnasett!J168,"AAAAAG/+3eo=")</f>
        <v>#VALUE!</v>
      </c>
      <c r="IB8" t="e">
        <f>AND(Gagnasett!K168,"AAAAAG/+3es=")</f>
        <v>#VALUE!</v>
      </c>
      <c r="IC8">
        <f>IF(Gagnasett!169:169,"AAAAAG/+3ew=",0)</f>
        <v>0</v>
      </c>
      <c r="ID8" t="e">
        <f>AND(Gagnasett!A169,"AAAAAG/+3e0=")</f>
        <v>#VALUE!</v>
      </c>
      <c r="IE8" t="e">
        <f>AND(Gagnasett!B169,"AAAAAG/+3e4=")</f>
        <v>#VALUE!</v>
      </c>
      <c r="IF8" t="e">
        <f>AND(Gagnasett!C169,"AAAAAG/+3e8=")</f>
        <v>#VALUE!</v>
      </c>
      <c r="IG8" t="e">
        <f>AND(Gagnasett!D169,"AAAAAG/+3fA=")</f>
        <v>#VALUE!</v>
      </c>
      <c r="IH8" t="e">
        <f>AND(Gagnasett!E169,"AAAAAG/+3fE=")</f>
        <v>#VALUE!</v>
      </c>
      <c r="II8" t="e">
        <f>AND(Gagnasett!F169,"AAAAAG/+3fI=")</f>
        <v>#VALUE!</v>
      </c>
      <c r="IJ8" t="e">
        <f>AND(Gagnasett!G169,"AAAAAG/+3fM=")</f>
        <v>#VALUE!</v>
      </c>
      <c r="IK8" t="e">
        <f>AND(Gagnasett!H169,"AAAAAG/+3fQ=")</f>
        <v>#VALUE!</v>
      </c>
      <c r="IL8" t="e">
        <f>AND(Gagnasett!I169,"AAAAAG/+3fU=")</f>
        <v>#VALUE!</v>
      </c>
      <c r="IM8" t="e">
        <f>AND(Gagnasett!J169,"AAAAAG/+3fY=")</f>
        <v>#VALUE!</v>
      </c>
      <c r="IN8" t="e">
        <f>AND(Gagnasett!K169,"AAAAAG/+3fc=")</f>
        <v>#VALUE!</v>
      </c>
      <c r="IO8">
        <f>IF(Gagnasett!170:170,"AAAAAG/+3fg=",0)</f>
        <v>0</v>
      </c>
      <c r="IP8" t="e">
        <f>AND(Gagnasett!A170,"AAAAAG/+3fk=")</f>
        <v>#VALUE!</v>
      </c>
      <c r="IQ8" t="e">
        <f>AND(Gagnasett!B170,"AAAAAG/+3fo=")</f>
        <v>#VALUE!</v>
      </c>
      <c r="IR8" t="e">
        <f>AND(Gagnasett!C170,"AAAAAG/+3fs=")</f>
        <v>#VALUE!</v>
      </c>
      <c r="IS8" t="e">
        <f>AND(Gagnasett!D170,"AAAAAG/+3fw=")</f>
        <v>#VALUE!</v>
      </c>
      <c r="IT8" t="e">
        <f>AND(Gagnasett!E170,"AAAAAG/+3f0=")</f>
        <v>#VALUE!</v>
      </c>
      <c r="IU8" t="e">
        <f>AND(Gagnasett!F170,"AAAAAG/+3f4=")</f>
        <v>#VALUE!</v>
      </c>
      <c r="IV8" t="e">
        <f>AND(Gagnasett!G170,"AAAAAG/+3f8=")</f>
        <v>#VALUE!</v>
      </c>
    </row>
    <row r="9" spans="1:256" x14ac:dyDescent="0.3">
      <c r="A9" t="e">
        <f>AND(Gagnasett!H170,"AAAAAG1f/wA=")</f>
        <v>#VALUE!</v>
      </c>
      <c r="B9" t="e">
        <f>AND(Gagnasett!I170,"AAAAAG1f/wE=")</f>
        <v>#VALUE!</v>
      </c>
      <c r="C9" t="e">
        <f>AND(Gagnasett!J170,"AAAAAG1f/wI=")</f>
        <v>#VALUE!</v>
      </c>
      <c r="D9" t="e">
        <f>AND(Gagnasett!K170,"AAAAAG1f/wM=")</f>
        <v>#VALUE!</v>
      </c>
      <c r="E9" t="e">
        <f>IF(Gagnasett!171:171,"AAAAAG1f/wQ=",0)</f>
        <v>#VALUE!</v>
      </c>
      <c r="F9" t="e">
        <f>AND(Gagnasett!A171,"AAAAAG1f/wU=")</f>
        <v>#VALUE!</v>
      </c>
      <c r="G9" t="e">
        <f>AND(Gagnasett!B171,"AAAAAG1f/wY=")</f>
        <v>#VALUE!</v>
      </c>
      <c r="H9" t="e">
        <f>AND(Gagnasett!C171,"AAAAAG1f/wc=")</f>
        <v>#VALUE!</v>
      </c>
      <c r="I9" t="e">
        <f>AND(Gagnasett!D171,"AAAAAG1f/wg=")</f>
        <v>#VALUE!</v>
      </c>
      <c r="J9" t="e">
        <f>AND(Gagnasett!E171,"AAAAAG1f/wk=")</f>
        <v>#VALUE!</v>
      </c>
      <c r="K9" t="e">
        <f>AND(Gagnasett!F171,"AAAAAG1f/wo=")</f>
        <v>#VALUE!</v>
      </c>
      <c r="L9" t="e">
        <f>AND(Gagnasett!G171,"AAAAAG1f/ws=")</f>
        <v>#VALUE!</v>
      </c>
      <c r="M9" t="e">
        <f>AND(Gagnasett!H171,"AAAAAG1f/ww=")</f>
        <v>#VALUE!</v>
      </c>
      <c r="N9" t="e">
        <f>AND(Gagnasett!I171,"AAAAAG1f/w0=")</f>
        <v>#VALUE!</v>
      </c>
      <c r="O9" t="e">
        <f>AND(Gagnasett!J171,"AAAAAG1f/w4=")</f>
        <v>#VALUE!</v>
      </c>
      <c r="P9" t="e">
        <f>AND(Gagnasett!K171,"AAAAAG1f/w8=")</f>
        <v>#VALUE!</v>
      </c>
      <c r="Q9">
        <f>IF(Gagnasett!172:172,"AAAAAG1f/xA=",0)</f>
        <v>0</v>
      </c>
      <c r="R9" t="e">
        <f>AND(Gagnasett!A172,"AAAAAG1f/xE=")</f>
        <v>#VALUE!</v>
      </c>
      <c r="S9" t="e">
        <f>AND(Gagnasett!B172,"AAAAAG1f/xI=")</f>
        <v>#VALUE!</v>
      </c>
      <c r="T9" t="e">
        <f>AND(Gagnasett!C172,"AAAAAG1f/xM=")</f>
        <v>#VALUE!</v>
      </c>
      <c r="U9" t="e">
        <f>AND(Gagnasett!D172,"AAAAAG1f/xQ=")</f>
        <v>#VALUE!</v>
      </c>
      <c r="V9" t="e">
        <f>AND(Gagnasett!E172,"AAAAAG1f/xU=")</f>
        <v>#VALUE!</v>
      </c>
      <c r="W9" t="e">
        <f>AND(Gagnasett!F172,"AAAAAG1f/xY=")</f>
        <v>#VALUE!</v>
      </c>
      <c r="X9" t="e">
        <f>AND(Gagnasett!G172,"AAAAAG1f/xc=")</f>
        <v>#VALUE!</v>
      </c>
      <c r="Y9" t="e">
        <f>AND(Gagnasett!H172,"AAAAAG1f/xg=")</f>
        <v>#VALUE!</v>
      </c>
      <c r="Z9" t="e">
        <f>AND(Gagnasett!I172,"AAAAAG1f/xk=")</f>
        <v>#VALUE!</v>
      </c>
      <c r="AA9" t="e">
        <f>AND(Gagnasett!J172,"AAAAAG1f/xo=")</f>
        <v>#VALUE!</v>
      </c>
      <c r="AB9" t="e">
        <f>AND(Gagnasett!K172,"AAAAAG1f/xs=")</f>
        <v>#VALUE!</v>
      </c>
      <c r="AC9">
        <f>IF(Gagnasett!173:173,"AAAAAG1f/xw=",0)</f>
        <v>0</v>
      </c>
      <c r="AD9" t="e">
        <f>AND(Gagnasett!A173,"AAAAAG1f/x0=")</f>
        <v>#VALUE!</v>
      </c>
      <c r="AE9" t="e">
        <f>AND(Gagnasett!B173,"AAAAAG1f/x4=")</f>
        <v>#VALUE!</v>
      </c>
      <c r="AF9" t="e">
        <f>AND(Gagnasett!C173,"AAAAAG1f/x8=")</f>
        <v>#VALUE!</v>
      </c>
      <c r="AG9" t="e">
        <f>AND(Gagnasett!D173,"AAAAAG1f/yA=")</f>
        <v>#VALUE!</v>
      </c>
      <c r="AH9" t="e">
        <f>AND(Gagnasett!E173,"AAAAAG1f/yE=")</f>
        <v>#VALUE!</v>
      </c>
      <c r="AI9" t="e">
        <f>AND(Gagnasett!F173,"AAAAAG1f/yI=")</f>
        <v>#VALUE!</v>
      </c>
      <c r="AJ9" t="e">
        <f>AND(Gagnasett!G173,"AAAAAG1f/yM=")</f>
        <v>#VALUE!</v>
      </c>
      <c r="AK9" t="e">
        <f>AND(Gagnasett!H173,"AAAAAG1f/yQ=")</f>
        <v>#VALUE!</v>
      </c>
      <c r="AL9" t="e">
        <f>AND(Gagnasett!I173,"AAAAAG1f/yU=")</f>
        <v>#VALUE!</v>
      </c>
      <c r="AM9" t="e">
        <f>AND(Gagnasett!J173,"AAAAAG1f/yY=")</f>
        <v>#VALUE!</v>
      </c>
      <c r="AN9" t="e">
        <f>AND(Gagnasett!K173,"AAAAAG1f/yc=")</f>
        <v>#VALUE!</v>
      </c>
      <c r="AO9">
        <f>IF(Gagnasett!174:174,"AAAAAG1f/yg=",0)</f>
        <v>0</v>
      </c>
      <c r="AP9" t="e">
        <f>AND(Gagnasett!A174,"AAAAAG1f/yk=")</f>
        <v>#VALUE!</v>
      </c>
      <c r="AQ9" t="e">
        <f>AND(Gagnasett!B174,"AAAAAG1f/yo=")</f>
        <v>#VALUE!</v>
      </c>
      <c r="AR9" t="e">
        <f>AND(Gagnasett!C174,"AAAAAG1f/ys=")</f>
        <v>#VALUE!</v>
      </c>
      <c r="AS9" t="e">
        <f>AND(Gagnasett!D174,"AAAAAG1f/yw=")</f>
        <v>#VALUE!</v>
      </c>
      <c r="AT9" t="e">
        <f>AND(Gagnasett!E174,"AAAAAG1f/y0=")</f>
        <v>#VALUE!</v>
      </c>
      <c r="AU9" t="e">
        <f>AND(Gagnasett!F174,"AAAAAG1f/y4=")</f>
        <v>#VALUE!</v>
      </c>
      <c r="AV9" t="e">
        <f>AND(Gagnasett!G174,"AAAAAG1f/y8=")</f>
        <v>#VALUE!</v>
      </c>
      <c r="AW9" t="e">
        <f>AND(Gagnasett!H174,"AAAAAG1f/zA=")</f>
        <v>#VALUE!</v>
      </c>
      <c r="AX9" t="e">
        <f>AND(Gagnasett!I174,"AAAAAG1f/zE=")</f>
        <v>#VALUE!</v>
      </c>
      <c r="AY9" t="e">
        <f>AND(Gagnasett!J174,"AAAAAG1f/zI=")</f>
        <v>#VALUE!</v>
      </c>
      <c r="AZ9" t="e">
        <f>AND(Gagnasett!K174,"AAAAAG1f/zM=")</f>
        <v>#VALUE!</v>
      </c>
      <c r="BA9">
        <f>IF(Gagnasett!175:175,"AAAAAG1f/zQ=",0)</f>
        <v>0</v>
      </c>
      <c r="BB9" t="e">
        <f>AND(Gagnasett!A175,"AAAAAG1f/zU=")</f>
        <v>#VALUE!</v>
      </c>
      <c r="BC9" t="e">
        <f>AND(Gagnasett!B175,"AAAAAG1f/zY=")</f>
        <v>#VALUE!</v>
      </c>
      <c r="BD9" t="e">
        <f>AND(Gagnasett!C175,"AAAAAG1f/zc=")</f>
        <v>#VALUE!</v>
      </c>
      <c r="BE9" t="e">
        <f>AND(Gagnasett!D175,"AAAAAG1f/zg=")</f>
        <v>#VALUE!</v>
      </c>
      <c r="BF9" t="e">
        <f>AND(Gagnasett!E175,"AAAAAG1f/zk=")</f>
        <v>#VALUE!</v>
      </c>
      <c r="BG9" t="e">
        <f>AND(Gagnasett!F175,"AAAAAG1f/zo=")</f>
        <v>#VALUE!</v>
      </c>
      <c r="BH9" t="e">
        <f>AND(Gagnasett!G175,"AAAAAG1f/zs=")</f>
        <v>#VALUE!</v>
      </c>
      <c r="BI9" t="e">
        <f>AND(Gagnasett!H175,"AAAAAG1f/zw=")</f>
        <v>#VALUE!</v>
      </c>
      <c r="BJ9" t="e">
        <f>AND(Gagnasett!I175,"AAAAAG1f/z0=")</f>
        <v>#VALUE!</v>
      </c>
      <c r="BK9" t="e">
        <f>AND(Gagnasett!J175,"AAAAAG1f/z4=")</f>
        <v>#VALUE!</v>
      </c>
      <c r="BL9" t="e">
        <f>AND(Gagnasett!K175,"AAAAAG1f/z8=")</f>
        <v>#VALUE!</v>
      </c>
      <c r="BM9">
        <f>IF(Gagnasett!176:176,"AAAAAG1f/0A=",0)</f>
        <v>0</v>
      </c>
      <c r="BN9" t="e">
        <f>AND(Gagnasett!A176,"AAAAAG1f/0E=")</f>
        <v>#VALUE!</v>
      </c>
      <c r="BO9" t="e">
        <f>AND(Gagnasett!B176,"AAAAAG1f/0I=")</f>
        <v>#VALUE!</v>
      </c>
      <c r="BP9" t="e">
        <f>AND(Gagnasett!C176,"AAAAAG1f/0M=")</f>
        <v>#VALUE!</v>
      </c>
      <c r="BQ9" t="e">
        <f>AND(Gagnasett!D176,"AAAAAG1f/0Q=")</f>
        <v>#VALUE!</v>
      </c>
      <c r="BR9" t="e">
        <f>AND(Gagnasett!E176,"AAAAAG1f/0U=")</f>
        <v>#VALUE!</v>
      </c>
      <c r="BS9" t="e">
        <f>AND(Gagnasett!F176,"AAAAAG1f/0Y=")</f>
        <v>#VALUE!</v>
      </c>
      <c r="BT9" t="e">
        <f>AND(Gagnasett!G176,"AAAAAG1f/0c=")</f>
        <v>#VALUE!</v>
      </c>
      <c r="BU9" t="e">
        <f>AND(Gagnasett!H176,"AAAAAG1f/0g=")</f>
        <v>#VALUE!</v>
      </c>
      <c r="BV9" t="e">
        <f>AND(Gagnasett!I176,"AAAAAG1f/0k=")</f>
        <v>#VALUE!</v>
      </c>
      <c r="BW9" t="e">
        <f>AND(Gagnasett!J176,"AAAAAG1f/0o=")</f>
        <v>#VALUE!</v>
      </c>
      <c r="BX9" t="e">
        <f>AND(Gagnasett!K176,"AAAAAG1f/0s=")</f>
        <v>#VALUE!</v>
      </c>
      <c r="BY9">
        <f>IF(Gagnasett!177:177,"AAAAAG1f/0w=",0)</f>
        <v>0</v>
      </c>
      <c r="BZ9" t="e">
        <f>AND(Gagnasett!A177,"AAAAAG1f/00=")</f>
        <v>#VALUE!</v>
      </c>
      <c r="CA9" t="e">
        <f>AND(Gagnasett!B177,"AAAAAG1f/04=")</f>
        <v>#VALUE!</v>
      </c>
      <c r="CB9" t="e">
        <f>AND(Gagnasett!C177,"AAAAAG1f/08=")</f>
        <v>#VALUE!</v>
      </c>
      <c r="CC9" t="e">
        <f>AND(Gagnasett!D177,"AAAAAG1f/1A=")</f>
        <v>#VALUE!</v>
      </c>
      <c r="CD9" t="e">
        <f>AND(Gagnasett!E177,"AAAAAG1f/1E=")</f>
        <v>#VALUE!</v>
      </c>
      <c r="CE9" t="e">
        <f>AND(Gagnasett!F177,"AAAAAG1f/1I=")</f>
        <v>#VALUE!</v>
      </c>
      <c r="CF9" t="e">
        <f>AND(Gagnasett!G177,"AAAAAG1f/1M=")</f>
        <v>#VALUE!</v>
      </c>
      <c r="CG9" t="e">
        <f>AND(Gagnasett!H177,"AAAAAG1f/1Q=")</f>
        <v>#VALUE!</v>
      </c>
      <c r="CH9" t="e">
        <f>AND(Gagnasett!I177,"AAAAAG1f/1U=")</f>
        <v>#VALUE!</v>
      </c>
      <c r="CI9" t="e">
        <f>AND(Gagnasett!J177,"AAAAAG1f/1Y=")</f>
        <v>#VALUE!</v>
      </c>
      <c r="CJ9" t="e">
        <f>AND(Gagnasett!K177,"AAAAAG1f/1c=")</f>
        <v>#VALUE!</v>
      </c>
      <c r="CK9">
        <f>IF(Gagnasett!178:178,"AAAAAG1f/1g=",0)</f>
        <v>0</v>
      </c>
      <c r="CL9" t="e">
        <f>AND(Gagnasett!A178,"AAAAAG1f/1k=")</f>
        <v>#VALUE!</v>
      </c>
      <c r="CM9" t="e">
        <f>AND(Gagnasett!B178,"AAAAAG1f/1o=")</f>
        <v>#VALUE!</v>
      </c>
      <c r="CN9" t="e">
        <f>AND(Gagnasett!C178,"AAAAAG1f/1s=")</f>
        <v>#VALUE!</v>
      </c>
      <c r="CO9" t="e">
        <f>AND(Gagnasett!D178,"AAAAAG1f/1w=")</f>
        <v>#VALUE!</v>
      </c>
      <c r="CP9" t="e">
        <f>AND(Gagnasett!E178,"AAAAAG1f/10=")</f>
        <v>#VALUE!</v>
      </c>
      <c r="CQ9" t="e">
        <f>AND(Gagnasett!F178,"AAAAAG1f/14=")</f>
        <v>#VALUE!</v>
      </c>
      <c r="CR9" t="e">
        <f>AND(Gagnasett!G178,"AAAAAG1f/18=")</f>
        <v>#VALUE!</v>
      </c>
      <c r="CS9" t="e">
        <f>AND(Gagnasett!H178,"AAAAAG1f/2A=")</f>
        <v>#VALUE!</v>
      </c>
      <c r="CT9" t="e">
        <f>AND(Gagnasett!I178,"AAAAAG1f/2E=")</f>
        <v>#VALUE!</v>
      </c>
      <c r="CU9" t="e">
        <f>AND(Gagnasett!J178,"AAAAAG1f/2I=")</f>
        <v>#VALUE!</v>
      </c>
      <c r="CV9" t="e">
        <f>AND(Gagnasett!K178,"AAAAAG1f/2M=")</f>
        <v>#VALUE!</v>
      </c>
      <c r="CW9">
        <f>IF(Gagnasett!179:179,"AAAAAG1f/2Q=",0)</f>
        <v>0</v>
      </c>
      <c r="CX9" t="e">
        <f>AND(Gagnasett!A179,"AAAAAG1f/2U=")</f>
        <v>#VALUE!</v>
      </c>
      <c r="CY9" t="e">
        <f>AND(Gagnasett!B179,"AAAAAG1f/2Y=")</f>
        <v>#VALUE!</v>
      </c>
      <c r="CZ9" t="e">
        <f>AND(Gagnasett!C179,"AAAAAG1f/2c=")</f>
        <v>#VALUE!</v>
      </c>
      <c r="DA9" t="e">
        <f>AND(Gagnasett!D179,"AAAAAG1f/2g=")</f>
        <v>#VALUE!</v>
      </c>
      <c r="DB9" t="e">
        <f>AND(Gagnasett!E179,"AAAAAG1f/2k=")</f>
        <v>#VALUE!</v>
      </c>
      <c r="DC9" t="e">
        <f>AND(Gagnasett!F179,"AAAAAG1f/2o=")</f>
        <v>#VALUE!</v>
      </c>
      <c r="DD9" t="e">
        <f>AND(Gagnasett!G179,"AAAAAG1f/2s=")</f>
        <v>#VALUE!</v>
      </c>
      <c r="DE9" t="e">
        <f>AND(Gagnasett!H179,"AAAAAG1f/2w=")</f>
        <v>#VALUE!</v>
      </c>
      <c r="DF9" t="e">
        <f>AND(Gagnasett!I179,"AAAAAG1f/20=")</f>
        <v>#VALUE!</v>
      </c>
      <c r="DG9" t="e">
        <f>AND(Gagnasett!J179,"AAAAAG1f/24=")</f>
        <v>#VALUE!</v>
      </c>
      <c r="DH9" t="e">
        <f>AND(Gagnasett!K179,"AAAAAG1f/28=")</f>
        <v>#VALUE!</v>
      </c>
      <c r="DI9">
        <f>IF(Gagnasett!180:180,"AAAAAG1f/3A=",0)</f>
        <v>0</v>
      </c>
      <c r="DJ9" t="e">
        <f>AND(Gagnasett!A180,"AAAAAG1f/3E=")</f>
        <v>#VALUE!</v>
      </c>
      <c r="DK9" t="e">
        <f>AND(Gagnasett!B180,"AAAAAG1f/3I=")</f>
        <v>#VALUE!</v>
      </c>
      <c r="DL9" t="e">
        <f>AND(Gagnasett!C180,"AAAAAG1f/3M=")</f>
        <v>#VALUE!</v>
      </c>
      <c r="DM9" t="e">
        <f>AND(Gagnasett!D180,"AAAAAG1f/3Q=")</f>
        <v>#VALUE!</v>
      </c>
      <c r="DN9" t="e">
        <f>AND(Gagnasett!E180,"AAAAAG1f/3U=")</f>
        <v>#VALUE!</v>
      </c>
      <c r="DO9" t="e">
        <f>AND(Gagnasett!F180,"AAAAAG1f/3Y=")</f>
        <v>#VALUE!</v>
      </c>
      <c r="DP9" t="e">
        <f>AND(Gagnasett!G180,"AAAAAG1f/3c=")</f>
        <v>#VALUE!</v>
      </c>
      <c r="DQ9" t="e">
        <f>AND(Gagnasett!H180,"AAAAAG1f/3g=")</f>
        <v>#VALUE!</v>
      </c>
      <c r="DR9" t="e">
        <f>AND(Gagnasett!I180,"AAAAAG1f/3k=")</f>
        <v>#VALUE!</v>
      </c>
      <c r="DS9" t="e">
        <f>AND(Gagnasett!J180,"AAAAAG1f/3o=")</f>
        <v>#VALUE!</v>
      </c>
      <c r="DT9" t="e">
        <f>AND(Gagnasett!K180,"AAAAAG1f/3s=")</f>
        <v>#VALUE!</v>
      </c>
      <c r="DU9">
        <f>IF(Gagnasett!181:181,"AAAAAG1f/3w=",0)</f>
        <v>0</v>
      </c>
      <c r="DV9" t="e">
        <f>AND(Gagnasett!A181,"AAAAAG1f/30=")</f>
        <v>#VALUE!</v>
      </c>
      <c r="DW9" t="e">
        <f>AND(Gagnasett!B181,"AAAAAG1f/34=")</f>
        <v>#VALUE!</v>
      </c>
      <c r="DX9" t="e">
        <f>AND(Gagnasett!C181,"AAAAAG1f/38=")</f>
        <v>#VALUE!</v>
      </c>
      <c r="DY9" t="e">
        <f>AND(Gagnasett!D181,"AAAAAG1f/4A=")</f>
        <v>#VALUE!</v>
      </c>
      <c r="DZ9" t="e">
        <f>AND(Gagnasett!E181,"AAAAAG1f/4E=")</f>
        <v>#VALUE!</v>
      </c>
      <c r="EA9" t="e">
        <f>AND(Gagnasett!F181,"AAAAAG1f/4I=")</f>
        <v>#VALUE!</v>
      </c>
      <c r="EB9" t="e">
        <f>AND(Gagnasett!G181,"AAAAAG1f/4M=")</f>
        <v>#VALUE!</v>
      </c>
      <c r="EC9" t="e">
        <f>AND(Gagnasett!H181,"AAAAAG1f/4Q=")</f>
        <v>#VALUE!</v>
      </c>
      <c r="ED9" t="e">
        <f>AND(Gagnasett!I181,"AAAAAG1f/4U=")</f>
        <v>#VALUE!</v>
      </c>
      <c r="EE9" t="e">
        <f>AND(Gagnasett!J181,"AAAAAG1f/4Y=")</f>
        <v>#VALUE!</v>
      </c>
      <c r="EF9" t="e">
        <f>AND(Gagnasett!K181,"AAAAAG1f/4c=")</f>
        <v>#VALUE!</v>
      </c>
      <c r="EG9">
        <f>IF(Gagnasett!182:182,"AAAAAG1f/4g=",0)</f>
        <v>0</v>
      </c>
      <c r="EH9" t="e">
        <f>AND(Gagnasett!A182,"AAAAAG1f/4k=")</f>
        <v>#VALUE!</v>
      </c>
      <c r="EI9" t="e">
        <f>AND(Gagnasett!B182,"AAAAAG1f/4o=")</f>
        <v>#VALUE!</v>
      </c>
      <c r="EJ9" t="e">
        <f>AND(Gagnasett!C182,"AAAAAG1f/4s=")</f>
        <v>#VALUE!</v>
      </c>
      <c r="EK9" t="e">
        <f>AND(Gagnasett!D182,"AAAAAG1f/4w=")</f>
        <v>#VALUE!</v>
      </c>
      <c r="EL9" t="e">
        <f>AND(Gagnasett!E182,"AAAAAG1f/40=")</f>
        <v>#VALUE!</v>
      </c>
      <c r="EM9" t="e">
        <f>AND(Gagnasett!F182,"AAAAAG1f/44=")</f>
        <v>#VALUE!</v>
      </c>
      <c r="EN9" t="e">
        <f>AND(Gagnasett!G182,"AAAAAG1f/48=")</f>
        <v>#VALUE!</v>
      </c>
      <c r="EO9" t="e">
        <f>AND(Gagnasett!H182,"AAAAAG1f/5A=")</f>
        <v>#VALUE!</v>
      </c>
      <c r="EP9" t="e">
        <f>AND(Gagnasett!I182,"AAAAAG1f/5E=")</f>
        <v>#VALUE!</v>
      </c>
      <c r="EQ9" t="e">
        <f>AND(Gagnasett!J182,"AAAAAG1f/5I=")</f>
        <v>#VALUE!</v>
      </c>
      <c r="ER9" t="e">
        <f>AND(Gagnasett!K182,"AAAAAG1f/5M=")</f>
        <v>#VALUE!</v>
      </c>
      <c r="ES9">
        <f>IF(Gagnasett!183:183,"AAAAAG1f/5Q=",0)</f>
        <v>0</v>
      </c>
      <c r="ET9" t="e">
        <f>AND(Gagnasett!A183,"AAAAAG1f/5U=")</f>
        <v>#VALUE!</v>
      </c>
      <c r="EU9" t="e">
        <f>AND(Gagnasett!B183,"AAAAAG1f/5Y=")</f>
        <v>#VALUE!</v>
      </c>
      <c r="EV9" t="e">
        <f>AND(Gagnasett!C183,"AAAAAG1f/5c=")</f>
        <v>#VALUE!</v>
      </c>
      <c r="EW9" t="e">
        <f>AND(Gagnasett!D183,"AAAAAG1f/5g=")</f>
        <v>#VALUE!</v>
      </c>
      <c r="EX9" t="e">
        <f>AND(Gagnasett!E183,"AAAAAG1f/5k=")</f>
        <v>#VALUE!</v>
      </c>
      <c r="EY9" t="e">
        <f>AND(Gagnasett!F183,"AAAAAG1f/5o=")</f>
        <v>#VALUE!</v>
      </c>
      <c r="EZ9" t="e">
        <f>AND(Gagnasett!G183,"AAAAAG1f/5s=")</f>
        <v>#VALUE!</v>
      </c>
      <c r="FA9" t="e">
        <f>AND(Gagnasett!H183,"AAAAAG1f/5w=")</f>
        <v>#VALUE!</v>
      </c>
      <c r="FB9" t="e">
        <f>AND(Gagnasett!I183,"AAAAAG1f/50=")</f>
        <v>#VALUE!</v>
      </c>
      <c r="FC9" t="e">
        <f>AND(Gagnasett!J183,"AAAAAG1f/54=")</f>
        <v>#VALUE!</v>
      </c>
      <c r="FD9" t="e">
        <f>AND(Gagnasett!K183,"AAAAAG1f/58=")</f>
        <v>#VALUE!</v>
      </c>
      <c r="FE9">
        <f>IF(Gagnasett!184:184,"AAAAAG1f/6A=",0)</f>
        <v>0</v>
      </c>
      <c r="FF9" t="e">
        <f>AND(Gagnasett!A184,"AAAAAG1f/6E=")</f>
        <v>#VALUE!</v>
      </c>
      <c r="FG9" t="e">
        <f>AND(Gagnasett!B184,"AAAAAG1f/6I=")</f>
        <v>#VALUE!</v>
      </c>
      <c r="FH9" t="e">
        <f>AND(Gagnasett!C184,"AAAAAG1f/6M=")</f>
        <v>#VALUE!</v>
      </c>
      <c r="FI9" t="e">
        <f>AND(Gagnasett!D184,"AAAAAG1f/6Q=")</f>
        <v>#VALUE!</v>
      </c>
      <c r="FJ9" t="e">
        <f>AND(Gagnasett!E184,"AAAAAG1f/6U=")</f>
        <v>#VALUE!</v>
      </c>
      <c r="FK9" t="e">
        <f>AND(Gagnasett!F184,"AAAAAG1f/6Y=")</f>
        <v>#VALUE!</v>
      </c>
      <c r="FL9" t="e">
        <f>AND(Gagnasett!G184,"AAAAAG1f/6c=")</f>
        <v>#VALUE!</v>
      </c>
      <c r="FM9" t="e">
        <f>AND(Gagnasett!H184,"AAAAAG1f/6g=")</f>
        <v>#VALUE!</v>
      </c>
      <c r="FN9" t="e">
        <f>AND(Gagnasett!I184,"AAAAAG1f/6k=")</f>
        <v>#VALUE!</v>
      </c>
      <c r="FO9" t="e">
        <f>AND(Gagnasett!J184,"AAAAAG1f/6o=")</f>
        <v>#VALUE!</v>
      </c>
      <c r="FP9" t="e">
        <f>AND(Gagnasett!K184,"AAAAAG1f/6s=")</f>
        <v>#VALUE!</v>
      </c>
      <c r="FQ9">
        <f>IF(Gagnasett!185:185,"AAAAAG1f/6w=",0)</f>
        <v>0</v>
      </c>
      <c r="FR9" t="e">
        <f>AND(Gagnasett!A185,"AAAAAG1f/60=")</f>
        <v>#VALUE!</v>
      </c>
      <c r="FS9" t="e">
        <f>AND(Gagnasett!B185,"AAAAAG1f/64=")</f>
        <v>#VALUE!</v>
      </c>
      <c r="FT9" t="e">
        <f>AND(Gagnasett!C185,"AAAAAG1f/68=")</f>
        <v>#VALUE!</v>
      </c>
      <c r="FU9" t="e">
        <f>AND(Gagnasett!D185,"AAAAAG1f/7A=")</f>
        <v>#VALUE!</v>
      </c>
      <c r="FV9" t="e">
        <f>AND(Gagnasett!E185,"AAAAAG1f/7E=")</f>
        <v>#VALUE!</v>
      </c>
      <c r="FW9" t="e">
        <f>AND(Gagnasett!F185,"AAAAAG1f/7I=")</f>
        <v>#VALUE!</v>
      </c>
      <c r="FX9" t="e">
        <f>AND(Gagnasett!G185,"AAAAAG1f/7M=")</f>
        <v>#VALUE!</v>
      </c>
      <c r="FY9" t="e">
        <f>AND(Gagnasett!H185,"AAAAAG1f/7Q=")</f>
        <v>#VALUE!</v>
      </c>
      <c r="FZ9" t="e">
        <f>AND(Gagnasett!I185,"AAAAAG1f/7U=")</f>
        <v>#VALUE!</v>
      </c>
      <c r="GA9" t="e">
        <f>AND(Gagnasett!J185,"AAAAAG1f/7Y=")</f>
        <v>#VALUE!</v>
      </c>
      <c r="GB9" t="e">
        <f>AND(Gagnasett!K185,"AAAAAG1f/7c=")</f>
        <v>#VALUE!</v>
      </c>
      <c r="GC9">
        <f>IF(Gagnasett!186:186,"AAAAAG1f/7g=",0)</f>
        <v>0</v>
      </c>
      <c r="GD9" t="e">
        <f>AND(Gagnasett!A186,"AAAAAG1f/7k=")</f>
        <v>#VALUE!</v>
      </c>
      <c r="GE9" t="e">
        <f>AND(Gagnasett!B186,"AAAAAG1f/7o=")</f>
        <v>#VALUE!</v>
      </c>
      <c r="GF9" t="e">
        <f>AND(Gagnasett!C186,"AAAAAG1f/7s=")</f>
        <v>#VALUE!</v>
      </c>
      <c r="GG9" t="e">
        <f>AND(Gagnasett!D186,"AAAAAG1f/7w=")</f>
        <v>#VALUE!</v>
      </c>
      <c r="GH9" t="e">
        <f>AND(Gagnasett!E186,"AAAAAG1f/70=")</f>
        <v>#VALUE!</v>
      </c>
      <c r="GI9" t="e">
        <f>AND(Gagnasett!F186,"AAAAAG1f/74=")</f>
        <v>#VALUE!</v>
      </c>
      <c r="GJ9" t="e">
        <f>AND(Gagnasett!G186,"AAAAAG1f/78=")</f>
        <v>#VALUE!</v>
      </c>
      <c r="GK9" t="e">
        <f>AND(Gagnasett!H186,"AAAAAG1f/8A=")</f>
        <v>#VALUE!</v>
      </c>
      <c r="GL9" t="e">
        <f>AND(Gagnasett!I186,"AAAAAG1f/8E=")</f>
        <v>#VALUE!</v>
      </c>
      <c r="GM9" t="e">
        <f>AND(Gagnasett!J186,"AAAAAG1f/8I=")</f>
        <v>#VALUE!</v>
      </c>
      <c r="GN9" t="e">
        <f>AND(Gagnasett!K186,"AAAAAG1f/8M=")</f>
        <v>#VALUE!</v>
      </c>
      <c r="GO9">
        <f>IF(Gagnasett!187:187,"AAAAAG1f/8Q=",0)</f>
        <v>0</v>
      </c>
      <c r="GP9" t="e">
        <f>AND(Gagnasett!A187,"AAAAAG1f/8U=")</f>
        <v>#VALUE!</v>
      </c>
      <c r="GQ9" t="e">
        <f>AND(Gagnasett!B187,"AAAAAG1f/8Y=")</f>
        <v>#VALUE!</v>
      </c>
      <c r="GR9" t="e">
        <f>AND(Gagnasett!C187,"AAAAAG1f/8c=")</f>
        <v>#VALUE!</v>
      </c>
      <c r="GS9" t="e">
        <f>AND(Gagnasett!D187,"AAAAAG1f/8g=")</f>
        <v>#VALUE!</v>
      </c>
      <c r="GT9" t="e">
        <f>AND(Gagnasett!E187,"AAAAAG1f/8k=")</f>
        <v>#VALUE!</v>
      </c>
      <c r="GU9" t="e">
        <f>AND(Gagnasett!F187,"AAAAAG1f/8o=")</f>
        <v>#VALUE!</v>
      </c>
      <c r="GV9" t="e">
        <f>AND(Gagnasett!G187,"AAAAAG1f/8s=")</f>
        <v>#VALUE!</v>
      </c>
      <c r="GW9" t="e">
        <f>AND(Gagnasett!H187,"AAAAAG1f/8w=")</f>
        <v>#VALUE!</v>
      </c>
      <c r="GX9" t="e">
        <f>AND(Gagnasett!I187,"AAAAAG1f/80=")</f>
        <v>#VALUE!</v>
      </c>
      <c r="GY9" t="e">
        <f>AND(Gagnasett!J187,"AAAAAG1f/84=")</f>
        <v>#VALUE!</v>
      </c>
      <c r="GZ9" t="e">
        <f>AND(Gagnasett!K187,"AAAAAG1f/88=")</f>
        <v>#VALUE!</v>
      </c>
      <c r="HA9">
        <f>IF(Gagnasett!188:188,"AAAAAG1f/9A=",0)</f>
        <v>0</v>
      </c>
      <c r="HB9" t="e">
        <f>AND(Gagnasett!A188,"AAAAAG1f/9E=")</f>
        <v>#VALUE!</v>
      </c>
      <c r="HC9" t="e">
        <f>AND(Gagnasett!B188,"AAAAAG1f/9I=")</f>
        <v>#VALUE!</v>
      </c>
      <c r="HD9" t="e">
        <f>AND(Gagnasett!C188,"AAAAAG1f/9M=")</f>
        <v>#VALUE!</v>
      </c>
      <c r="HE9" t="e">
        <f>AND(Gagnasett!D188,"AAAAAG1f/9Q=")</f>
        <v>#VALUE!</v>
      </c>
      <c r="HF9" t="e">
        <f>AND(Gagnasett!E188,"AAAAAG1f/9U=")</f>
        <v>#VALUE!</v>
      </c>
      <c r="HG9" t="e">
        <f>AND(Gagnasett!F188,"AAAAAG1f/9Y=")</f>
        <v>#VALUE!</v>
      </c>
      <c r="HH9" t="e">
        <f>AND(Gagnasett!G188,"AAAAAG1f/9c=")</f>
        <v>#VALUE!</v>
      </c>
      <c r="HI9" t="e">
        <f>AND(Gagnasett!H188,"AAAAAG1f/9g=")</f>
        <v>#VALUE!</v>
      </c>
      <c r="HJ9" t="e">
        <f>AND(Gagnasett!I188,"AAAAAG1f/9k=")</f>
        <v>#VALUE!</v>
      </c>
      <c r="HK9" t="e">
        <f>AND(Gagnasett!J188,"AAAAAG1f/9o=")</f>
        <v>#VALUE!</v>
      </c>
      <c r="HL9" t="e">
        <f>AND(Gagnasett!K188,"AAAAAG1f/9s=")</f>
        <v>#VALUE!</v>
      </c>
      <c r="HM9">
        <f>IF(Gagnasett!189:189,"AAAAAG1f/9w=",0)</f>
        <v>0</v>
      </c>
      <c r="HN9" t="e">
        <f>AND(Gagnasett!A189,"AAAAAG1f/90=")</f>
        <v>#VALUE!</v>
      </c>
      <c r="HO9" t="e">
        <f>AND(Gagnasett!B189,"AAAAAG1f/94=")</f>
        <v>#VALUE!</v>
      </c>
      <c r="HP9" t="e">
        <f>AND(Gagnasett!C189,"AAAAAG1f/98=")</f>
        <v>#VALUE!</v>
      </c>
      <c r="HQ9" t="e">
        <f>AND(Gagnasett!D189,"AAAAAG1f/+A=")</f>
        <v>#VALUE!</v>
      </c>
      <c r="HR9" t="e">
        <f>AND(Gagnasett!E189,"AAAAAG1f/+E=")</f>
        <v>#VALUE!</v>
      </c>
      <c r="HS9" t="e">
        <f>AND(Gagnasett!F189,"AAAAAG1f/+I=")</f>
        <v>#VALUE!</v>
      </c>
      <c r="HT9" t="e">
        <f>AND(Gagnasett!G189,"AAAAAG1f/+M=")</f>
        <v>#VALUE!</v>
      </c>
      <c r="HU9" t="e">
        <f>AND(Gagnasett!H189,"AAAAAG1f/+Q=")</f>
        <v>#VALUE!</v>
      </c>
      <c r="HV9" t="e">
        <f>AND(Gagnasett!I189,"AAAAAG1f/+U=")</f>
        <v>#VALUE!</v>
      </c>
      <c r="HW9" t="e">
        <f>AND(Gagnasett!J189,"AAAAAG1f/+Y=")</f>
        <v>#VALUE!</v>
      </c>
      <c r="HX9" t="e">
        <f>AND(Gagnasett!K189,"AAAAAG1f/+c=")</f>
        <v>#VALUE!</v>
      </c>
      <c r="HY9">
        <f>IF(Gagnasett!190:190,"AAAAAG1f/+g=",0)</f>
        <v>0</v>
      </c>
      <c r="HZ9" t="e">
        <f>AND(Gagnasett!A190,"AAAAAG1f/+k=")</f>
        <v>#VALUE!</v>
      </c>
      <c r="IA9" t="e">
        <f>AND(Gagnasett!B190,"AAAAAG1f/+o=")</f>
        <v>#VALUE!</v>
      </c>
      <c r="IB9" t="e">
        <f>AND(Gagnasett!C190,"AAAAAG1f/+s=")</f>
        <v>#VALUE!</v>
      </c>
      <c r="IC9" t="e">
        <f>AND(Gagnasett!D190,"AAAAAG1f/+w=")</f>
        <v>#VALUE!</v>
      </c>
      <c r="ID9" t="e">
        <f>AND(Gagnasett!E190,"AAAAAG1f/+0=")</f>
        <v>#VALUE!</v>
      </c>
      <c r="IE9" t="e">
        <f>AND(Gagnasett!F190,"AAAAAG1f/+4=")</f>
        <v>#VALUE!</v>
      </c>
      <c r="IF9" t="e">
        <f>AND(Gagnasett!G190,"AAAAAG1f/+8=")</f>
        <v>#VALUE!</v>
      </c>
      <c r="IG9" t="e">
        <f>AND(Gagnasett!H190,"AAAAAG1f//A=")</f>
        <v>#VALUE!</v>
      </c>
      <c r="IH9" t="e">
        <f>AND(Gagnasett!I190,"AAAAAG1f//E=")</f>
        <v>#VALUE!</v>
      </c>
      <c r="II9" t="e">
        <f>AND(Gagnasett!J190,"AAAAAG1f//I=")</f>
        <v>#VALUE!</v>
      </c>
      <c r="IJ9" t="e">
        <f>AND(Gagnasett!K190,"AAAAAG1f//M=")</f>
        <v>#VALUE!</v>
      </c>
      <c r="IK9" t="e">
        <f>IF(Gagnasett!#REF!,"AAAAAG1f//Q=",0)</f>
        <v>#REF!</v>
      </c>
      <c r="IL9" t="e">
        <f>AND(Gagnasett!#REF!,"AAAAAG1f//U=")</f>
        <v>#REF!</v>
      </c>
      <c r="IM9" t="e">
        <f>AND(Gagnasett!#REF!,"AAAAAG1f//Y=")</f>
        <v>#REF!</v>
      </c>
      <c r="IN9" t="e">
        <f>AND(Gagnasett!#REF!,"AAAAAG1f//c=")</f>
        <v>#REF!</v>
      </c>
      <c r="IO9" t="e">
        <f>AND(Gagnasett!#REF!,"AAAAAG1f//g=")</f>
        <v>#REF!</v>
      </c>
      <c r="IP9" t="e">
        <f>AND(Gagnasett!#REF!,"AAAAAG1f//k=")</f>
        <v>#REF!</v>
      </c>
      <c r="IQ9" t="e">
        <f>AND(Gagnasett!#REF!,"AAAAAG1f//o=")</f>
        <v>#REF!</v>
      </c>
      <c r="IR9" t="e">
        <f>AND(Gagnasett!#REF!,"AAAAAG1f//s=")</f>
        <v>#REF!</v>
      </c>
      <c r="IS9" t="e">
        <f>AND(Gagnasett!#REF!,"AAAAAG1f//w=")</f>
        <v>#REF!</v>
      </c>
      <c r="IT9" t="e">
        <f>AND(Gagnasett!#REF!,"AAAAAG1f//0=")</f>
        <v>#REF!</v>
      </c>
      <c r="IU9" t="e">
        <f>AND(Gagnasett!#REF!,"AAAAAG1f//4=")</f>
        <v>#REF!</v>
      </c>
      <c r="IV9" t="e">
        <f>AND(Gagnasett!#REF!,"AAAAAG1f//8=")</f>
        <v>#REF!</v>
      </c>
    </row>
    <row r="10" spans="1:256" x14ac:dyDescent="0.3">
      <c r="A10" t="e">
        <f>IF(Gagnasett!191:191,"AAAAAFx7fgA=",0)</f>
        <v>#VALUE!</v>
      </c>
      <c r="B10" t="e">
        <f>AND(Gagnasett!A191,"AAAAAFx7fgE=")</f>
        <v>#VALUE!</v>
      </c>
      <c r="C10" t="e">
        <f>AND(Gagnasett!B191,"AAAAAFx7fgI=")</f>
        <v>#VALUE!</v>
      </c>
      <c r="D10" t="e">
        <f>AND(Gagnasett!C191,"AAAAAFx7fgM=")</f>
        <v>#VALUE!</v>
      </c>
      <c r="E10" t="e">
        <f>AND(Gagnasett!D191,"AAAAAFx7fgQ=")</f>
        <v>#VALUE!</v>
      </c>
      <c r="F10" t="e">
        <f>AND(Gagnasett!E191,"AAAAAFx7fgU=")</f>
        <v>#VALUE!</v>
      </c>
      <c r="G10" t="e">
        <f>AND(Gagnasett!F191,"AAAAAFx7fgY=")</f>
        <v>#VALUE!</v>
      </c>
      <c r="H10" t="e">
        <f>AND(Gagnasett!G191,"AAAAAFx7fgc=")</f>
        <v>#VALUE!</v>
      </c>
      <c r="I10" t="e">
        <f>AND(Gagnasett!H191,"AAAAAFx7fgg=")</f>
        <v>#VALUE!</v>
      </c>
      <c r="J10" t="e">
        <f>AND(Gagnasett!I191,"AAAAAFx7fgk=")</f>
        <v>#VALUE!</v>
      </c>
      <c r="K10" t="e">
        <f>AND(Gagnasett!J191,"AAAAAFx7fgo=")</f>
        <v>#VALUE!</v>
      </c>
      <c r="L10" t="e">
        <f>AND(Gagnasett!K191,"AAAAAFx7fgs=")</f>
        <v>#VALUE!</v>
      </c>
      <c r="M10">
        <f>IF(Gagnasett!192:192,"AAAAAFx7fgw=",0)</f>
        <v>0</v>
      </c>
      <c r="N10" t="e">
        <f>AND(Gagnasett!A192,"AAAAAFx7fg0=")</f>
        <v>#VALUE!</v>
      </c>
      <c r="O10" t="e">
        <f>AND(Gagnasett!B192,"AAAAAFx7fg4=")</f>
        <v>#VALUE!</v>
      </c>
      <c r="P10" t="e">
        <f>AND(Gagnasett!C192,"AAAAAFx7fg8=")</f>
        <v>#VALUE!</v>
      </c>
      <c r="Q10" t="e">
        <f>AND(Gagnasett!D192,"AAAAAFx7fhA=")</f>
        <v>#VALUE!</v>
      </c>
      <c r="R10" t="e">
        <f>AND(Gagnasett!E192,"AAAAAFx7fhE=")</f>
        <v>#VALUE!</v>
      </c>
      <c r="S10" t="e">
        <f>AND(Gagnasett!F192,"AAAAAFx7fhI=")</f>
        <v>#VALUE!</v>
      </c>
      <c r="T10" t="e">
        <f>AND(Gagnasett!G192,"AAAAAFx7fhM=")</f>
        <v>#VALUE!</v>
      </c>
      <c r="U10" t="e">
        <f>AND(Gagnasett!H192,"AAAAAFx7fhQ=")</f>
        <v>#VALUE!</v>
      </c>
      <c r="V10" t="e">
        <f>AND(Gagnasett!I192,"AAAAAFx7fhU=")</f>
        <v>#VALUE!</v>
      </c>
      <c r="W10" t="e">
        <f>AND(Gagnasett!J192,"AAAAAFx7fhY=")</f>
        <v>#VALUE!</v>
      </c>
      <c r="X10" t="e">
        <f>AND(Gagnasett!K192,"AAAAAFx7fhc=")</f>
        <v>#VALUE!</v>
      </c>
      <c r="Y10">
        <f>IF(Gagnasett!193:193,"AAAAAFx7fhg=",0)</f>
        <v>0</v>
      </c>
      <c r="Z10" t="e">
        <f>AND(Gagnasett!A193,"AAAAAFx7fhk=")</f>
        <v>#VALUE!</v>
      </c>
      <c r="AA10" t="e">
        <f>AND(Gagnasett!B193,"AAAAAFx7fho=")</f>
        <v>#VALUE!</v>
      </c>
      <c r="AB10" t="e">
        <f>AND(Gagnasett!C193,"AAAAAFx7fhs=")</f>
        <v>#VALUE!</v>
      </c>
      <c r="AC10" t="e">
        <f>AND(Gagnasett!D193,"AAAAAFx7fhw=")</f>
        <v>#VALUE!</v>
      </c>
      <c r="AD10" t="e">
        <f>AND(Gagnasett!E193,"AAAAAFx7fh0=")</f>
        <v>#VALUE!</v>
      </c>
      <c r="AE10" t="e">
        <f>AND(Gagnasett!F193,"AAAAAFx7fh4=")</f>
        <v>#VALUE!</v>
      </c>
      <c r="AF10" t="e">
        <f>AND(Gagnasett!G193,"AAAAAFx7fh8=")</f>
        <v>#VALUE!</v>
      </c>
      <c r="AG10" t="e">
        <f>AND(Gagnasett!H193,"AAAAAFx7fiA=")</f>
        <v>#VALUE!</v>
      </c>
      <c r="AH10" t="e">
        <f>AND(Gagnasett!I193,"AAAAAFx7fiE=")</f>
        <v>#VALUE!</v>
      </c>
      <c r="AI10" t="e">
        <f>AND(Gagnasett!J193,"AAAAAFx7fiI=")</f>
        <v>#VALUE!</v>
      </c>
      <c r="AJ10" t="e">
        <f>AND(Gagnasett!K193,"AAAAAFx7fiM=")</f>
        <v>#VALUE!</v>
      </c>
      <c r="AK10">
        <f>IF(Gagnasett!194:194,"AAAAAFx7fiQ=",0)</f>
        <v>0</v>
      </c>
      <c r="AL10" t="e">
        <f>AND(Gagnasett!A194,"AAAAAFx7fiU=")</f>
        <v>#VALUE!</v>
      </c>
      <c r="AM10" t="e">
        <f>AND(Gagnasett!B194,"AAAAAFx7fiY=")</f>
        <v>#VALUE!</v>
      </c>
      <c r="AN10" t="e">
        <f>AND(Gagnasett!C194,"AAAAAFx7fic=")</f>
        <v>#VALUE!</v>
      </c>
      <c r="AO10" t="e">
        <f>AND(Gagnasett!D194,"AAAAAFx7fig=")</f>
        <v>#VALUE!</v>
      </c>
      <c r="AP10" t="e">
        <f>AND(Gagnasett!E194,"AAAAAFx7fik=")</f>
        <v>#VALUE!</v>
      </c>
      <c r="AQ10" t="e">
        <f>AND(Gagnasett!F194,"AAAAAFx7fio=")</f>
        <v>#VALUE!</v>
      </c>
      <c r="AR10" t="e">
        <f>AND(Gagnasett!G194,"AAAAAFx7fis=")</f>
        <v>#VALUE!</v>
      </c>
      <c r="AS10" t="e">
        <f>AND(Gagnasett!H194,"AAAAAFx7fiw=")</f>
        <v>#VALUE!</v>
      </c>
      <c r="AT10" t="e">
        <f>AND(Gagnasett!I194,"AAAAAFx7fi0=")</f>
        <v>#VALUE!</v>
      </c>
      <c r="AU10" t="e">
        <f>AND(Gagnasett!J194,"AAAAAFx7fi4=")</f>
        <v>#VALUE!</v>
      </c>
      <c r="AV10" t="e">
        <f>AND(Gagnasett!K194,"AAAAAFx7fi8=")</f>
        <v>#VALUE!</v>
      </c>
      <c r="AW10">
        <f>IF(Gagnasett!195:195,"AAAAAFx7fjA=",0)</f>
        <v>0</v>
      </c>
      <c r="AX10" t="e">
        <f>AND(Gagnasett!A195,"AAAAAFx7fjE=")</f>
        <v>#VALUE!</v>
      </c>
      <c r="AY10" t="e">
        <f>AND(Gagnasett!B195,"AAAAAFx7fjI=")</f>
        <v>#VALUE!</v>
      </c>
      <c r="AZ10" t="e">
        <f>AND(Gagnasett!C195,"AAAAAFx7fjM=")</f>
        <v>#VALUE!</v>
      </c>
      <c r="BA10" t="e">
        <f>AND(Gagnasett!D195,"AAAAAFx7fjQ=")</f>
        <v>#VALUE!</v>
      </c>
      <c r="BB10" t="e">
        <f>AND(Gagnasett!E195,"AAAAAFx7fjU=")</f>
        <v>#VALUE!</v>
      </c>
      <c r="BC10" t="e">
        <f>AND(Gagnasett!F195,"AAAAAFx7fjY=")</f>
        <v>#VALUE!</v>
      </c>
      <c r="BD10" t="e">
        <f>AND(Gagnasett!G195,"AAAAAFx7fjc=")</f>
        <v>#VALUE!</v>
      </c>
      <c r="BE10" t="e">
        <f>AND(Gagnasett!H195,"AAAAAFx7fjg=")</f>
        <v>#VALUE!</v>
      </c>
      <c r="BF10" t="e">
        <f>AND(Gagnasett!I195,"AAAAAFx7fjk=")</f>
        <v>#VALUE!</v>
      </c>
      <c r="BG10" t="e">
        <f>AND(Gagnasett!J195,"AAAAAFx7fjo=")</f>
        <v>#VALUE!</v>
      </c>
      <c r="BH10" t="e">
        <f>AND(Gagnasett!K195,"AAAAAFx7fjs=")</f>
        <v>#VALUE!</v>
      </c>
      <c r="BI10">
        <f>IF(Gagnasett!196:196,"AAAAAFx7fjw=",0)</f>
        <v>0</v>
      </c>
      <c r="BJ10" t="e">
        <f>AND(Gagnasett!A196,"AAAAAFx7fj0=")</f>
        <v>#VALUE!</v>
      </c>
      <c r="BK10" t="e">
        <f>AND(Gagnasett!B196,"AAAAAFx7fj4=")</f>
        <v>#VALUE!</v>
      </c>
      <c r="BL10" t="e">
        <f>AND(Gagnasett!C196,"AAAAAFx7fj8=")</f>
        <v>#VALUE!</v>
      </c>
      <c r="BM10" t="e">
        <f>AND(Gagnasett!D196,"AAAAAFx7fkA=")</f>
        <v>#VALUE!</v>
      </c>
      <c r="BN10" t="e">
        <f>AND(Gagnasett!E196,"AAAAAFx7fkE=")</f>
        <v>#VALUE!</v>
      </c>
      <c r="BO10" t="e">
        <f>AND(Gagnasett!F196,"AAAAAFx7fkI=")</f>
        <v>#VALUE!</v>
      </c>
      <c r="BP10" t="e">
        <f>AND(Gagnasett!G196,"AAAAAFx7fkM=")</f>
        <v>#VALUE!</v>
      </c>
      <c r="BQ10" t="e">
        <f>AND(Gagnasett!H196,"AAAAAFx7fkQ=")</f>
        <v>#VALUE!</v>
      </c>
      <c r="BR10" t="e">
        <f>AND(Gagnasett!I196,"AAAAAFx7fkU=")</f>
        <v>#VALUE!</v>
      </c>
      <c r="BS10" t="e">
        <f>AND(Gagnasett!J196,"AAAAAFx7fkY=")</f>
        <v>#VALUE!</v>
      </c>
      <c r="BT10" t="e">
        <f>AND(Gagnasett!K196,"AAAAAFx7fkc=")</f>
        <v>#VALUE!</v>
      </c>
      <c r="BU10">
        <f>IF(Gagnasett!197:197,"AAAAAFx7fkg=",0)</f>
        <v>0</v>
      </c>
      <c r="BV10" t="e">
        <f>AND(Gagnasett!A197,"AAAAAFx7fkk=")</f>
        <v>#VALUE!</v>
      </c>
      <c r="BW10" t="e">
        <f>AND(Gagnasett!B197,"AAAAAFx7fko=")</f>
        <v>#VALUE!</v>
      </c>
      <c r="BX10" t="e">
        <f>AND(Gagnasett!C197,"AAAAAFx7fks=")</f>
        <v>#VALUE!</v>
      </c>
      <c r="BY10" t="e">
        <f>AND(Gagnasett!D197,"AAAAAFx7fkw=")</f>
        <v>#VALUE!</v>
      </c>
      <c r="BZ10" t="e">
        <f>AND(Gagnasett!E197,"AAAAAFx7fk0=")</f>
        <v>#VALUE!</v>
      </c>
      <c r="CA10" t="e">
        <f>AND(Gagnasett!F197,"AAAAAFx7fk4=")</f>
        <v>#VALUE!</v>
      </c>
      <c r="CB10" t="e">
        <f>AND(Gagnasett!G197,"AAAAAFx7fk8=")</f>
        <v>#VALUE!</v>
      </c>
      <c r="CC10" t="e">
        <f>AND(Gagnasett!H197,"AAAAAFx7flA=")</f>
        <v>#VALUE!</v>
      </c>
      <c r="CD10" t="e">
        <f>AND(Gagnasett!I197,"AAAAAFx7flE=")</f>
        <v>#VALUE!</v>
      </c>
      <c r="CE10" t="e">
        <f>AND(Gagnasett!J197,"AAAAAFx7flI=")</f>
        <v>#VALUE!</v>
      </c>
      <c r="CF10" t="e">
        <f>AND(Gagnasett!K197,"AAAAAFx7flM=")</f>
        <v>#VALUE!</v>
      </c>
      <c r="CG10">
        <f>IF(Gagnasett!198:198,"AAAAAFx7flQ=",0)</f>
        <v>0</v>
      </c>
      <c r="CH10" t="e">
        <f>AND(Gagnasett!A198,"AAAAAFx7flU=")</f>
        <v>#VALUE!</v>
      </c>
      <c r="CI10" t="e">
        <f>AND(Gagnasett!B198,"AAAAAFx7flY=")</f>
        <v>#VALUE!</v>
      </c>
      <c r="CJ10" t="e">
        <f>AND(Gagnasett!C198,"AAAAAFx7flc=")</f>
        <v>#VALUE!</v>
      </c>
      <c r="CK10" t="e">
        <f>AND(Gagnasett!D198,"AAAAAFx7flg=")</f>
        <v>#VALUE!</v>
      </c>
      <c r="CL10" t="e">
        <f>AND(Gagnasett!E198,"AAAAAFx7flk=")</f>
        <v>#VALUE!</v>
      </c>
      <c r="CM10" t="e">
        <f>AND(Gagnasett!F198,"AAAAAFx7flo=")</f>
        <v>#VALUE!</v>
      </c>
      <c r="CN10" t="e">
        <f>AND(Gagnasett!G198,"AAAAAFx7fls=")</f>
        <v>#VALUE!</v>
      </c>
      <c r="CO10" t="e">
        <f>AND(Gagnasett!H198,"AAAAAFx7flw=")</f>
        <v>#VALUE!</v>
      </c>
      <c r="CP10" t="e">
        <f>AND(Gagnasett!I198,"AAAAAFx7fl0=")</f>
        <v>#VALUE!</v>
      </c>
      <c r="CQ10" t="e">
        <f>AND(Gagnasett!J198,"AAAAAFx7fl4=")</f>
        <v>#VALUE!</v>
      </c>
      <c r="CR10" t="e">
        <f>AND(Gagnasett!K198,"AAAAAFx7fl8=")</f>
        <v>#VALUE!</v>
      </c>
      <c r="CS10">
        <f>IF(Gagnasett!199:199,"AAAAAFx7fmA=",0)</f>
        <v>0</v>
      </c>
      <c r="CT10" t="e">
        <f>AND(Gagnasett!A199,"AAAAAFx7fmE=")</f>
        <v>#VALUE!</v>
      </c>
      <c r="CU10" t="e">
        <f>AND(Gagnasett!B199,"AAAAAFx7fmI=")</f>
        <v>#VALUE!</v>
      </c>
      <c r="CV10" t="e">
        <f>AND(Gagnasett!C199,"AAAAAFx7fmM=")</f>
        <v>#VALUE!</v>
      </c>
      <c r="CW10" t="e">
        <f>AND(Gagnasett!D199,"AAAAAFx7fmQ=")</f>
        <v>#VALUE!</v>
      </c>
      <c r="CX10" t="e">
        <f>AND(Gagnasett!E199,"AAAAAFx7fmU=")</f>
        <v>#VALUE!</v>
      </c>
      <c r="CY10" t="e">
        <f>AND(Gagnasett!F199,"AAAAAFx7fmY=")</f>
        <v>#VALUE!</v>
      </c>
      <c r="CZ10" t="e">
        <f>AND(Gagnasett!G199,"AAAAAFx7fmc=")</f>
        <v>#VALUE!</v>
      </c>
      <c r="DA10" t="e">
        <f>AND(Gagnasett!H199,"AAAAAFx7fmg=")</f>
        <v>#VALUE!</v>
      </c>
      <c r="DB10" t="e">
        <f>AND(Gagnasett!I199,"AAAAAFx7fmk=")</f>
        <v>#VALUE!</v>
      </c>
      <c r="DC10" t="e">
        <f>AND(Gagnasett!J199,"AAAAAFx7fmo=")</f>
        <v>#VALUE!</v>
      </c>
      <c r="DD10" t="e">
        <f>AND(Gagnasett!K199,"AAAAAFx7fms=")</f>
        <v>#VALUE!</v>
      </c>
      <c r="DE10">
        <f>IF(Gagnasett!200:200,"AAAAAFx7fmw=",0)</f>
        <v>0</v>
      </c>
      <c r="DF10" t="e">
        <f>AND(Gagnasett!A200,"AAAAAFx7fm0=")</f>
        <v>#VALUE!</v>
      </c>
      <c r="DG10" t="e">
        <f>AND(Gagnasett!B200,"AAAAAFx7fm4=")</f>
        <v>#VALUE!</v>
      </c>
      <c r="DH10" t="e">
        <f>AND(Gagnasett!C200,"AAAAAFx7fm8=")</f>
        <v>#VALUE!</v>
      </c>
      <c r="DI10" t="e">
        <f>AND(Gagnasett!D200,"AAAAAFx7fnA=")</f>
        <v>#VALUE!</v>
      </c>
      <c r="DJ10" t="e">
        <f>AND(Gagnasett!E200,"AAAAAFx7fnE=")</f>
        <v>#VALUE!</v>
      </c>
      <c r="DK10" t="e">
        <f>AND(Gagnasett!F200,"AAAAAFx7fnI=")</f>
        <v>#VALUE!</v>
      </c>
      <c r="DL10" t="e">
        <f>AND(Gagnasett!G200,"AAAAAFx7fnM=")</f>
        <v>#VALUE!</v>
      </c>
      <c r="DM10" t="e">
        <f>AND(Gagnasett!H200,"AAAAAFx7fnQ=")</f>
        <v>#VALUE!</v>
      </c>
      <c r="DN10" t="e">
        <f>AND(Gagnasett!I200,"AAAAAFx7fnU=")</f>
        <v>#VALUE!</v>
      </c>
      <c r="DO10" t="e">
        <f>AND(Gagnasett!J200,"AAAAAFx7fnY=")</f>
        <v>#VALUE!</v>
      </c>
      <c r="DP10" t="e">
        <f>AND(Gagnasett!K200,"AAAAAFx7fnc=")</f>
        <v>#VALUE!</v>
      </c>
      <c r="DQ10">
        <f>IF(Gagnasett!201:201,"AAAAAFx7fng=",0)</f>
        <v>0</v>
      </c>
      <c r="DR10" t="e">
        <f>AND(Gagnasett!A201,"AAAAAFx7fnk=")</f>
        <v>#VALUE!</v>
      </c>
      <c r="DS10" t="e">
        <f>AND(Gagnasett!B201,"AAAAAFx7fno=")</f>
        <v>#VALUE!</v>
      </c>
      <c r="DT10" t="e">
        <f>AND(Gagnasett!C201,"AAAAAFx7fns=")</f>
        <v>#VALUE!</v>
      </c>
      <c r="DU10" t="e">
        <f>AND(Gagnasett!D201,"AAAAAFx7fnw=")</f>
        <v>#VALUE!</v>
      </c>
      <c r="DV10" t="e">
        <f>AND(Gagnasett!E201,"AAAAAFx7fn0=")</f>
        <v>#VALUE!</v>
      </c>
      <c r="DW10" t="e">
        <f>AND(Gagnasett!F201,"AAAAAFx7fn4=")</f>
        <v>#VALUE!</v>
      </c>
      <c r="DX10" t="e">
        <f>AND(Gagnasett!G201,"AAAAAFx7fn8=")</f>
        <v>#VALUE!</v>
      </c>
      <c r="DY10" t="e">
        <f>AND(Gagnasett!H201,"AAAAAFx7foA=")</f>
        <v>#VALUE!</v>
      </c>
      <c r="DZ10" t="e">
        <f>AND(Gagnasett!I201,"AAAAAFx7foE=")</f>
        <v>#VALUE!</v>
      </c>
      <c r="EA10" t="e">
        <f>AND(Gagnasett!J201,"AAAAAFx7foI=")</f>
        <v>#VALUE!</v>
      </c>
      <c r="EB10" t="e">
        <f>AND(Gagnasett!K201,"AAAAAFx7foM=")</f>
        <v>#VALUE!</v>
      </c>
      <c r="EC10">
        <f>IF(Gagnasett!202:202,"AAAAAFx7foQ=",0)</f>
        <v>0</v>
      </c>
      <c r="ED10" t="e">
        <f>AND(Gagnasett!A202,"AAAAAFx7foU=")</f>
        <v>#VALUE!</v>
      </c>
      <c r="EE10" t="e">
        <f>AND(Gagnasett!B202,"AAAAAFx7foY=")</f>
        <v>#VALUE!</v>
      </c>
      <c r="EF10" t="e">
        <f>AND(Gagnasett!C202,"AAAAAFx7foc=")</f>
        <v>#VALUE!</v>
      </c>
      <c r="EG10" t="e">
        <f>AND(Gagnasett!D202,"AAAAAFx7fog=")</f>
        <v>#VALUE!</v>
      </c>
      <c r="EH10" t="e">
        <f>AND(Gagnasett!E202,"AAAAAFx7fok=")</f>
        <v>#VALUE!</v>
      </c>
      <c r="EI10" t="e">
        <f>AND(Gagnasett!F202,"AAAAAFx7foo=")</f>
        <v>#VALUE!</v>
      </c>
      <c r="EJ10" t="e">
        <f>AND(Gagnasett!G202,"AAAAAFx7fos=")</f>
        <v>#VALUE!</v>
      </c>
      <c r="EK10" t="e">
        <f>AND(Gagnasett!H202,"AAAAAFx7fow=")</f>
        <v>#VALUE!</v>
      </c>
      <c r="EL10" t="e">
        <f>AND(Gagnasett!I202,"AAAAAFx7fo0=")</f>
        <v>#VALUE!</v>
      </c>
      <c r="EM10" t="e">
        <f>AND(Gagnasett!J202,"AAAAAFx7fo4=")</f>
        <v>#VALUE!</v>
      </c>
      <c r="EN10" t="e">
        <f>AND(Gagnasett!K202,"AAAAAFx7fo8=")</f>
        <v>#VALUE!</v>
      </c>
      <c r="EO10">
        <f>IF(Gagnasett!203:203,"AAAAAFx7fpA=",0)</f>
        <v>0</v>
      </c>
      <c r="EP10" t="e">
        <f>AND(Gagnasett!A203,"AAAAAFx7fpE=")</f>
        <v>#VALUE!</v>
      </c>
      <c r="EQ10" t="e">
        <f>AND(Gagnasett!B203,"AAAAAFx7fpI=")</f>
        <v>#VALUE!</v>
      </c>
      <c r="ER10" t="e">
        <f>AND(Gagnasett!C203,"AAAAAFx7fpM=")</f>
        <v>#VALUE!</v>
      </c>
      <c r="ES10" t="e">
        <f>AND(Gagnasett!D203,"AAAAAFx7fpQ=")</f>
        <v>#VALUE!</v>
      </c>
      <c r="ET10" t="e">
        <f>AND(Gagnasett!E203,"AAAAAFx7fpU=")</f>
        <v>#VALUE!</v>
      </c>
      <c r="EU10" t="e">
        <f>AND(Gagnasett!F203,"AAAAAFx7fpY=")</f>
        <v>#VALUE!</v>
      </c>
      <c r="EV10" t="e">
        <f>AND(Gagnasett!G203,"AAAAAFx7fpc=")</f>
        <v>#VALUE!</v>
      </c>
      <c r="EW10" t="e">
        <f>AND(Gagnasett!H203,"AAAAAFx7fpg=")</f>
        <v>#VALUE!</v>
      </c>
      <c r="EX10" t="e">
        <f>AND(Gagnasett!I203,"AAAAAFx7fpk=")</f>
        <v>#VALUE!</v>
      </c>
      <c r="EY10" t="e">
        <f>AND(Gagnasett!J203,"AAAAAFx7fpo=")</f>
        <v>#VALUE!</v>
      </c>
      <c r="EZ10" t="e">
        <f>AND(Gagnasett!K203,"AAAAAFx7fps=")</f>
        <v>#VALUE!</v>
      </c>
      <c r="FA10">
        <f>IF(Gagnasett!204:204,"AAAAAFx7fpw=",0)</f>
        <v>0</v>
      </c>
      <c r="FB10" t="e">
        <f>AND(Gagnasett!A204,"AAAAAFx7fp0=")</f>
        <v>#VALUE!</v>
      </c>
      <c r="FC10" t="e">
        <f>AND(Gagnasett!B204,"AAAAAFx7fp4=")</f>
        <v>#VALUE!</v>
      </c>
      <c r="FD10" t="e">
        <f>AND(Gagnasett!C204,"AAAAAFx7fp8=")</f>
        <v>#VALUE!</v>
      </c>
      <c r="FE10" t="e">
        <f>AND(Gagnasett!D204,"AAAAAFx7fqA=")</f>
        <v>#VALUE!</v>
      </c>
      <c r="FF10" t="e">
        <f>AND(Gagnasett!E204,"AAAAAFx7fqE=")</f>
        <v>#VALUE!</v>
      </c>
      <c r="FG10" t="e">
        <f>AND(Gagnasett!F204,"AAAAAFx7fqI=")</f>
        <v>#VALUE!</v>
      </c>
      <c r="FH10" t="e">
        <f>AND(Gagnasett!G204,"AAAAAFx7fqM=")</f>
        <v>#VALUE!</v>
      </c>
      <c r="FI10" t="e">
        <f>AND(Gagnasett!H204,"AAAAAFx7fqQ=")</f>
        <v>#VALUE!</v>
      </c>
      <c r="FJ10" t="e">
        <f>AND(Gagnasett!I204,"AAAAAFx7fqU=")</f>
        <v>#VALUE!</v>
      </c>
      <c r="FK10" t="e">
        <f>AND(Gagnasett!J204,"AAAAAFx7fqY=")</f>
        <v>#VALUE!</v>
      </c>
      <c r="FL10" t="e">
        <f>AND(Gagnasett!K204,"AAAAAFx7fqc=")</f>
        <v>#VALUE!</v>
      </c>
      <c r="FM10">
        <f>IF(Gagnasett!205:205,"AAAAAFx7fqg=",0)</f>
        <v>0</v>
      </c>
      <c r="FN10" t="e">
        <f>AND(Gagnasett!A205,"AAAAAFx7fqk=")</f>
        <v>#VALUE!</v>
      </c>
      <c r="FO10" t="e">
        <f>AND(Gagnasett!B205,"AAAAAFx7fqo=")</f>
        <v>#VALUE!</v>
      </c>
      <c r="FP10" t="e">
        <f>AND(Gagnasett!C205,"AAAAAFx7fqs=")</f>
        <v>#VALUE!</v>
      </c>
      <c r="FQ10" t="e">
        <f>AND(Gagnasett!D205,"AAAAAFx7fqw=")</f>
        <v>#VALUE!</v>
      </c>
      <c r="FR10" t="e">
        <f>AND(Gagnasett!E205,"AAAAAFx7fq0=")</f>
        <v>#VALUE!</v>
      </c>
      <c r="FS10" t="e">
        <f>AND(Gagnasett!F205,"AAAAAFx7fq4=")</f>
        <v>#VALUE!</v>
      </c>
      <c r="FT10" t="e">
        <f>AND(Gagnasett!G205,"AAAAAFx7fq8=")</f>
        <v>#VALUE!</v>
      </c>
      <c r="FU10" t="e">
        <f>AND(Gagnasett!H205,"AAAAAFx7frA=")</f>
        <v>#VALUE!</v>
      </c>
      <c r="FV10" t="e">
        <f>AND(Gagnasett!I205,"AAAAAFx7frE=")</f>
        <v>#VALUE!</v>
      </c>
      <c r="FW10" t="e">
        <f>AND(Gagnasett!J205,"AAAAAFx7frI=")</f>
        <v>#VALUE!</v>
      </c>
      <c r="FX10" t="e">
        <f>AND(Gagnasett!K205,"AAAAAFx7frM=")</f>
        <v>#VALUE!</v>
      </c>
      <c r="FY10">
        <f>IF(Gagnasett!206:206,"AAAAAFx7frQ=",0)</f>
        <v>0</v>
      </c>
      <c r="FZ10" t="e">
        <f>AND(Gagnasett!A206,"AAAAAFx7frU=")</f>
        <v>#VALUE!</v>
      </c>
      <c r="GA10" t="e">
        <f>AND(Gagnasett!B206,"AAAAAFx7frY=")</f>
        <v>#VALUE!</v>
      </c>
      <c r="GB10" t="e">
        <f>AND(Gagnasett!C206,"AAAAAFx7frc=")</f>
        <v>#VALUE!</v>
      </c>
      <c r="GC10" t="e">
        <f>AND(Gagnasett!D206,"AAAAAFx7frg=")</f>
        <v>#VALUE!</v>
      </c>
      <c r="GD10" t="e">
        <f>AND(Gagnasett!E206,"AAAAAFx7frk=")</f>
        <v>#VALUE!</v>
      </c>
      <c r="GE10" t="e">
        <f>AND(Gagnasett!F206,"AAAAAFx7fro=")</f>
        <v>#VALUE!</v>
      </c>
      <c r="GF10" t="e">
        <f>AND(Gagnasett!G206,"AAAAAFx7frs=")</f>
        <v>#VALUE!</v>
      </c>
      <c r="GG10" t="e">
        <f>AND(Gagnasett!H206,"AAAAAFx7frw=")</f>
        <v>#VALUE!</v>
      </c>
      <c r="GH10" t="e">
        <f>AND(Gagnasett!I206,"AAAAAFx7fr0=")</f>
        <v>#VALUE!</v>
      </c>
      <c r="GI10" t="e">
        <f>AND(Gagnasett!J206,"AAAAAFx7fr4=")</f>
        <v>#VALUE!</v>
      </c>
      <c r="GJ10" t="e">
        <f>AND(Gagnasett!K206,"AAAAAFx7fr8=")</f>
        <v>#VALUE!</v>
      </c>
      <c r="GK10">
        <f>IF(Gagnasett!207:207,"AAAAAFx7fsA=",0)</f>
        <v>0</v>
      </c>
      <c r="GL10" t="e">
        <f>AND(Gagnasett!A207,"AAAAAFx7fsE=")</f>
        <v>#VALUE!</v>
      </c>
      <c r="GM10" t="e">
        <f>AND(Gagnasett!B207,"AAAAAFx7fsI=")</f>
        <v>#VALUE!</v>
      </c>
      <c r="GN10" t="e">
        <f>AND(Gagnasett!C207,"AAAAAFx7fsM=")</f>
        <v>#VALUE!</v>
      </c>
      <c r="GO10" t="e">
        <f>AND(Gagnasett!D207,"AAAAAFx7fsQ=")</f>
        <v>#VALUE!</v>
      </c>
      <c r="GP10" t="e">
        <f>AND(Gagnasett!E207,"AAAAAFx7fsU=")</f>
        <v>#VALUE!</v>
      </c>
      <c r="GQ10" t="e">
        <f>AND(Gagnasett!F207,"AAAAAFx7fsY=")</f>
        <v>#VALUE!</v>
      </c>
      <c r="GR10" t="e">
        <f>AND(Gagnasett!G207,"AAAAAFx7fsc=")</f>
        <v>#VALUE!</v>
      </c>
      <c r="GS10" t="e">
        <f>AND(Gagnasett!H207,"AAAAAFx7fsg=")</f>
        <v>#VALUE!</v>
      </c>
      <c r="GT10" t="e">
        <f>AND(Gagnasett!I207,"AAAAAFx7fsk=")</f>
        <v>#VALUE!</v>
      </c>
      <c r="GU10" t="e">
        <f>AND(Gagnasett!J207,"AAAAAFx7fso=")</f>
        <v>#VALUE!</v>
      </c>
      <c r="GV10" t="e">
        <f>AND(Gagnasett!K207,"AAAAAFx7fss=")</f>
        <v>#VALUE!</v>
      </c>
      <c r="GW10">
        <f>IF(Gagnasett!208:208,"AAAAAFx7fsw=",0)</f>
        <v>0</v>
      </c>
      <c r="GX10" t="e">
        <f>AND(Gagnasett!A208,"AAAAAFx7fs0=")</f>
        <v>#VALUE!</v>
      </c>
      <c r="GY10" t="e">
        <f>AND(Gagnasett!B208,"AAAAAFx7fs4=")</f>
        <v>#VALUE!</v>
      </c>
      <c r="GZ10" t="e">
        <f>AND(Gagnasett!C208,"AAAAAFx7fs8=")</f>
        <v>#VALUE!</v>
      </c>
      <c r="HA10" t="e">
        <f>AND(Gagnasett!D208,"AAAAAFx7ftA=")</f>
        <v>#VALUE!</v>
      </c>
      <c r="HB10" t="e">
        <f>AND(Gagnasett!E208,"AAAAAFx7ftE=")</f>
        <v>#VALUE!</v>
      </c>
      <c r="HC10" t="e">
        <f>AND(Gagnasett!F208,"AAAAAFx7ftI=")</f>
        <v>#VALUE!</v>
      </c>
      <c r="HD10" t="e">
        <f>AND(Gagnasett!G208,"AAAAAFx7ftM=")</f>
        <v>#VALUE!</v>
      </c>
      <c r="HE10" t="e">
        <f>AND(Gagnasett!H208,"AAAAAFx7ftQ=")</f>
        <v>#VALUE!</v>
      </c>
      <c r="HF10" t="e">
        <f>AND(Gagnasett!I208,"AAAAAFx7ftU=")</f>
        <v>#VALUE!</v>
      </c>
      <c r="HG10" t="e">
        <f>AND(Gagnasett!J208,"AAAAAFx7ftY=")</f>
        <v>#VALUE!</v>
      </c>
      <c r="HH10" t="e">
        <f>AND(Gagnasett!K208,"AAAAAFx7ftc=")</f>
        <v>#VALUE!</v>
      </c>
      <c r="HI10">
        <f>IF(Gagnasett!209:209,"AAAAAFx7ftg=",0)</f>
        <v>0</v>
      </c>
      <c r="HJ10" t="e">
        <f>AND(Gagnasett!A209,"AAAAAFx7ftk=")</f>
        <v>#VALUE!</v>
      </c>
      <c r="HK10" t="e">
        <f>AND(Gagnasett!B209,"AAAAAFx7fto=")</f>
        <v>#VALUE!</v>
      </c>
      <c r="HL10" t="e">
        <f>AND(Gagnasett!C209,"AAAAAFx7fts=")</f>
        <v>#VALUE!</v>
      </c>
      <c r="HM10" t="e">
        <f>AND(Gagnasett!D209,"AAAAAFx7ftw=")</f>
        <v>#VALUE!</v>
      </c>
      <c r="HN10" t="e">
        <f>AND(Gagnasett!E209,"AAAAAFx7ft0=")</f>
        <v>#VALUE!</v>
      </c>
      <c r="HO10" t="e">
        <f>AND(Gagnasett!F209,"AAAAAFx7ft4=")</f>
        <v>#VALUE!</v>
      </c>
      <c r="HP10" t="e">
        <f>AND(Gagnasett!G209,"AAAAAFx7ft8=")</f>
        <v>#VALUE!</v>
      </c>
      <c r="HQ10" t="e">
        <f>AND(Gagnasett!H209,"AAAAAFx7fuA=")</f>
        <v>#VALUE!</v>
      </c>
      <c r="HR10" t="e">
        <f>AND(Gagnasett!I209,"AAAAAFx7fuE=")</f>
        <v>#VALUE!</v>
      </c>
      <c r="HS10" t="e">
        <f>AND(Gagnasett!J209,"AAAAAFx7fuI=")</f>
        <v>#VALUE!</v>
      </c>
      <c r="HT10" t="e">
        <f>AND(Gagnasett!K209,"AAAAAFx7fuM=")</f>
        <v>#VALUE!</v>
      </c>
      <c r="HU10">
        <f>IF(Gagnasett!210:210,"AAAAAFx7fuQ=",0)</f>
        <v>0</v>
      </c>
      <c r="HV10" t="e">
        <f>AND(Gagnasett!A210,"AAAAAFx7fuU=")</f>
        <v>#VALUE!</v>
      </c>
      <c r="HW10" t="e">
        <f>AND(Gagnasett!B210,"AAAAAFx7fuY=")</f>
        <v>#VALUE!</v>
      </c>
      <c r="HX10" t="e">
        <f>AND(Gagnasett!C210,"AAAAAFx7fuc=")</f>
        <v>#VALUE!</v>
      </c>
      <c r="HY10" t="e">
        <f>AND(Gagnasett!D210,"AAAAAFx7fug=")</f>
        <v>#VALUE!</v>
      </c>
      <c r="HZ10" t="e">
        <f>AND(Gagnasett!E210,"AAAAAFx7fuk=")</f>
        <v>#VALUE!</v>
      </c>
      <c r="IA10" t="e">
        <f>AND(Gagnasett!F210,"AAAAAFx7fuo=")</f>
        <v>#VALUE!</v>
      </c>
      <c r="IB10" t="e">
        <f>AND(Gagnasett!G210,"AAAAAFx7fus=")</f>
        <v>#VALUE!</v>
      </c>
      <c r="IC10" t="e">
        <f>AND(Gagnasett!H210,"AAAAAFx7fuw=")</f>
        <v>#VALUE!</v>
      </c>
      <c r="ID10" t="e">
        <f>AND(Gagnasett!I210,"AAAAAFx7fu0=")</f>
        <v>#VALUE!</v>
      </c>
      <c r="IE10" t="e">
        <f>AND(Gagnasett!J210,"AAAAAFx7fu4=")</f>
        <v>#VALUE!</v>
      </c>
      <c r="IF10" t="e">
        <f>AND(Gagnasett!K210,"AAAAAFx7fu8=")</f>
        <v>#VALUE!</v>
      </c>
      <c r="IG10">
        <f>IF(Gagnasett!211:211,"AAAAAFx7fvA=",0)</f>
        <v>0</v>
      </c>
      <c r="IH10" t="e">
        <f>AND(Gagnasett!A211,"AAAAAFx7fvE=")</f>
        <v>#VALUE!</v>
      </c>
      <c r="II10" t="e">
        <f>AND(Gagnasett!B211,"AAAAAFx7fvI=")</f>
        <v>#VALUE!</v>
      </c>
      <c r="IJ10" t="e">
        <f>AND(Gagnasett!C211,"AAAAAFx7fvM=")</f>
        <v>#VALUE!</v>
      </c>
      <c r="IK10" t="e">
        <f>AND(Gagnasett!D211,"AAAAAFx7fvQ=")</f>
        <v>#VALUE!</v>
      </c>
      <c r="IL10" t="e">
        <f>AND(Gagnasett!E211,"AAAAAFx7fvU=")</f>
        <v>#VALUE!</v>
      </c>
      <c r="IM10" t="e">
        <f>AND(Gagnasett!F211,"AAAAAFx7fvY=")</f>
        <v>#VALUE!</v>
      </c>
      <c r="IN10" t="e">
        <f>AND(Gagnasett!G211,"AAAAAFx7fvc=")</f>
        <v>#VALUE!</v>
      </c>
      <c r="IO10" t="e">
        <f>AND(Gagnasett!H211,"AAAAAFx7fvg=")</f>
        <v>#VALUE!</v>
      </c>
      <c r="IP10" t="e">
        <f>AND(Gagnasett!I211,"AAAAAFx7fvk=")</f>
        <v>#VALUE!</v>
      </c>
      <c r="IQ10" t="e">
        <f>AND(Gagnasett!J211,"AAAAAFx7fvo=")</f>
        <v>#VALUE!</v>
      </c>
      <c r="IR10" t="e">
        <f>AND(Gagnasett!K211,"AAAAAFx7fvs=")</f>
        <v>#VALUE!</v>
      </c>
      <c r="IS10">
        <f>IF(Gagnasett!212:212,"AAAAAFx7fvw=",0)</f>
        <v>0</v>
      </c>
      <c r="IT10" t="e">
        <f>AND(Gagnasett!A212,"AAAAAFx7fv0=")</f>
        <v>#VALUE!</v>
      </c>
      <c r="IU10" t="e">
        <f>AND(Gagnasett!B212,"AAAAAFx7fv4=")</f>
        <v>#VALUE!</v>
      </c>
      <c r="IV10" t="e">
        <f>AND(Gagnasett!C212,"AAAAAFx7fv8=")</f>
        <v>#VALUE!</v>
      </c>
    </row>
    <row r="11" spans="1:256" x14ac:dyDescent="0.3">
      <c r="A11" t="e">
        <f>AND(Gagnasett!D212,"AAAAAHf7awA=")</f>
        <v>#VALUE!</v>
      </c>
      <c r="B11" t="e">
        <f>AND(Gagnasett!E212,"AAAAAHf7awE=")</f>
        <v>#VALUE!</v>
      </c>
      <c r="C11" t="e">
        <f>AND(Gagnasett!F212,"AAAAAHf7awI=")</f>
        <v>#VALUE!</v>
      </c>
      <c r="D11" t="e">
        <f>AND(Gagnasett!G212,"AAAAAHf7awM=")</f>
        <v>#VALUE!</v>
      </c>
      <c r="E11" t="e">
        <f>AND(Gagnasett!H212,"AAAAAHf7awQ=")</f>
        <v>#VALUE!</v>
      </c>
      <c r="F11" t="e">
        <f>AND(Gagnasett!I212,"AAAAAHf7awU=")</f>
        <v>#VALUE!</v>
      </c>
      <c r="G11" t="e">
        <f>AND(Gagnasett!J212,"AAAAAHf7awY=")</f>
        <v>#VALUE!</v>
      </c>
      <c r="H11" t="e">
        <f>AND(Gagnasett!K212,"AAAAAHf7awc=")</f>
        <v>#VALUE!</v>
      </c>
      <c r="I11" t="e">
        <f>IF(Gagnasett!213:213,"AAAAAHf7awg=",0)</f>
        <v>#VALUE!</v>
      </c>
      <c r="J11" t="e">
        <f>AND(Gagnasett!A213,"AAAAAHf7awk=")</f>
        <v>#VALUE!</v>
      </c>
      <c r="K11" t="e">
        <f>AND(Gagnasett!B213,"AAAAAHf7awo=")</f>
        <v>#VALUE!</v>
      </c>
      <c r="L11" t="e">
        <f>AND(Gagnasett!C213,"AAAAAHf7aws=")</f>
        <v>#VALUE!</v>
      </c>
      <c r="M11" t="e">
        <f>AND(Gagnasett!D213,"AAAAAHf7aww=")</f>
        <v>#VALUE!</v>
      </c>
      <c r="N11" t="e">
        <f>AND(Gagnasett!E213,"AAAAAHf7aw0=")</f>
        <v>#VALUE!</v>
      </c>
      <c r="O11" t="e">
        <f>AND(Gagnasett!F213,"AAAAAHf7aw4=")</f>
        <v>#VALUE!</v>
      </c>
      <c r="P11" t="e">
        <f>AND(Gagnasett!G213,"AAAAAHf7aw8=")</f>
        <v>#VALUE!</v>
      </c>
      <c r="Q11" t="e">
        <f>AND(Gagnasett!H213,"AAAAAHf7axA=")</f>
        <v>#VALUE!</v>
      </c>
      <c r="R11" t="e">
        <f>AND(Gagnasett!I213,"AAAAAHf7axE=")</f>
        <v>#VALUE!</v>
      </c>
      <c r="S11" t="e">
        <f>AND(Gagnasett!J213,"AAAAAHf7axI=")</f>
        <v>#VALUE!</v>
      </c>
      <c r="T11" t="e">
        <f>AND(Gagnasett!K213,"AAAAAHf7axM=")</f>
        <v>#VALUE!</v>
      </c>
      <c r="U11">
        <f>IF(Gagnasett!214:214,"AAAAAHf7axQ=",0)</f>
        <v>0</v>
      </c>
      <c r="V11" t="e">
        <f>AND(Gagnasett!A214,"AAAAAHf7axU=")</f>
        <v>#VALUE!</v>
      </c>
      <c r="W11" t="e">
        <f>AND(Gagnasett!B214,"AAAAAHf7axY=")</f>
        <v>#VALUE!</v>
      </c>
      <c r="X11" t="e">
        <f>AND(Gagnasett!C214,"AAAAAHf7axc=")</f>
        <v>#VALUE!</v>
      </c>
      <c r="Y11" t="e">
        <f>AND(Gagnasett!D214,"AAAAAHf7axg=")</f>
        <v>#VALUE!</v>
      </c>
      <c r="Z11" t="e">
        <f>AND(Gagnasett!E214,"AAAAAHf7axk=")</f>
        <v>#VALUE!</v>
      </c>
      <c r="AA11" t="e">
        <f>AND(Gagnasett!F214,"AAAAAHf7axo=")</f>
        <v>#VALUE!</v>
      </c>
      <c r="AB11" t="e">
        <f>AND(Gagnasett!G214,"AAAAAHf7axs=")</f>
        <v>#VALUE!</v>
      </c>
      <c r="AC11" t="e">
        <f>AND(Gagnasett!H214,"AAAAAHf7axw=")</f>
        <v>#VALUE!</v>
      </c>
      <c r="AD11" t="e">
        <f>AND(Gagnasett!I214,"AAAAAHf7ax0=")</f>
        <v>#VALUE!</v>
      </c>
      <c r="AE11" t="e">
        <f>AND(Gagnasett!J214,"AAAAAHf7ax4=")</f>
        <v>#VALUE!</v>
      </c>
      <c r="AF11" t="e">
        <f>AND(Gagnasett!K214,"AAAAAHf7ax8=")</f>
        <v>#VALUE!</v>
      </c>
      <c r="AG11">
        <f>IF(Gagnasett!215:215,"AAAAAHf7ayA=",0)</f>
        <v>0</v>
      </c>
      <c r="AH11" t="e">
        <f>AND(Gagnasett!A215,"AAAAAHf7ayE=")</f>
        <v>#VALUE!</v>
      </c>
      <c r="AI11" t="e">
        <f>AND(Gagnasett!B215,"AAAAAHf7ayI=")</f>
        <v>#VALUE!</v>
      </c>
      <c r="AJ11" t="e">
        <f>AND(Gagnasett!C215,"AAAAAHf7ayM=")</f>
        <v>#VALUE!</v>
      </c>
      <c r="AK11" t="e">
        <f>AND(Gagnasett!D215,"AAAAAHf7ayQ=")</f>
        <v>#VALUE!</v>
      </c>
      <c r="AL11" t="e">
        <f>AND(Gagnasett!E215,"AAAAAHf7ayU=")</f>
        <v>#VALUE!</v>
      </c>
      <c r="AM11" t="e">
        <f>AND(Gagnasett!F215,"AAAAAHf7ayY=")</f>
        <v>#VALUE!</v>
      </c>
      <c r="AN11" t="e">
        <f>AND(Gagnasett!G215,"AAAAAHf7ayc=")</f>
        <v>#VALUE!</v>
      </c>
      <c r="AO11" t="e">
        <f>AND(Gagnasett!H215,"AAAAAHf7ayg=")</f>
        <v>#VALUE!</v>
      </c>
      <c r="AP11" t="e">
        <f>AND(Gagnasett!I215,"AAAAAHf7ayk=")</f>
        <v>#VALUE!</v>
      </c>
      <c r="AQ11" t="e">
        <f>AND(Gagnasett!J215,"AAAAAHf7ayo=")</f>
        <v>#VALUE!</v>
      </c>
      <c r="AR11" t="e">
        <f>AND(Gagnasett!K215,"AAAAAHf7ays=")</f>
        <v>#VALUE!</v>
      </c>
      <c r="AS11">
        <f>IF(Gagnasett!216:216,"AAAAAHf7ayw=",0)</f>
        <v>0</v>
      </c>
      <c r="AT11" t="e">
        <f>AND(Gagnasett!A216,"AAAAAHf7ay0=")</f>
        <v>#VALUE!</v>
      </c>
      <c r="AU11" t="e">
        <f>AND(Gagnasett!B216,"AAAAAHf7ay4=")</f>
        <v>#VALUE!</v>
      </c>
      <c r="AV11" t="e">
        <f>AND(Gagnasett!C216,"AAAAAHf7ay8=")</f>
        <v>#VALUE!</v>
      </c>
      <c r="AW11" t="e">
        <f>AND(Gagnasett!D216,"AAAAAHf7azA=")</f>
        <v>#VALUE!</v>
      </c>
      <c r="AX11" t="e">
        <f>AND(Gagnasett!E216,"AAAAAHf7azE=")</f>
        <v>#VALUE!</v>
      </c>
      <c r="AY11" t="e">
        <f>AND(Gagnasett!F216,"AAAAAHf7azI=")</f>
        <v>#VALUE!</v>
      </c>
      <c r="AZ11" t="e">
        <f>AND(Gagnasett!G216,"AAAAAHf7azM=")</f>
        <v>#VALUE!</v>
      </c>
      <c r="BA11" t="e">
        <f>AND(Gagnasett!H216,"AAAAAHf7azQ=")</f>
        <v>#VALUE!</v>
      </c>
      <c r="BB11" t="e">
        <f>AND(Gagnasett!I216,"AAAAAHf7azU=")</f>
        <v>#VALUE!</v>
      </c>
      <c r="BC11" t="e">
        <f>AND(Gagnasett!J216,"AAAAAHf7azY=")</f>
        <v>#VALUE!</v>
      </c>
      <c r="BD11" t="e">
        <f>AND(Gagnasett!K216,"AAAAAHf7azc=")</f>
        <v>#VALUE!</v>
      </c>
      <c r="BE11">
        <f>IF(Gagnasett!217:217,"AAAAAHf7azg=",0)</f>
        <v>0</v>
      </c>
      <c r="BF11" t="e">
        <f>AND(Gagnasett!A217,"AAAAAHf7azk=")</f>
        <v>#VALUE!</v>
      </c>
      <c r="BG11" t="e">
        <f>AND(Gagnasett!B217,"AAAAAHf7azo=")</f>
        <v>#VALUE!</v>
      </c>
      <c r="BH11" t="e">
        <f>AND(Gagnasett!C217,"AAAAAHf7azs=")</f>
        <v>#VALUE!</v>
      </c>
      <c r="BI11" t="e">
        <f>AND(Gagnasett!D217,"AAAAAHf7azw=")</f>
        <v>#VALUE!</v>
      </c>
      <c r="BJ11" t="e">
        <f>AND(Gagnasett!E217,"AAAAAHf7az0=")</f>
        <v>#VALUE!</v>
      </c>
      <c r="BK11" t="e">
        <f>AND(Gagnasett!F217,"AAAAAHf7az4=")</f>
        <v>#VALUE!</v>
      </c>
      <c r="BL11" t="e">
        <f>AND(Gagnasett!G217,"AAAAAHf7az8=")</f>
        <v>#VALUE!</v>
      </c>
      <c r="BM11" t="e">
        <f>AND(Gagnasett!H217,"AAAAAHf7a0A=")</f>
        <v>#VALUE!</v>
      </c>
      <c r="BN11" t="e">
        <f>AND(Gagnasett!I217,"AAAAAHf7a0E=")</f>
        <v>#VALUE!</v>
      </c>
      <c r="BO11" t="e">
        <f>AND(Gagnasett!J217,"AAAAAHf7a0I=")</f>
        <v>#VALUE!</v>
      </c>
      <c r="BP11" t="e">
        <f>AND(Gagnasett!K217,"AAAAAHf7a0M=")</f>
        <v>#VALUE!</v>
      </c>
      <c r="BQ11">
        <f>IF(Gagnasett!218:218,"AAAAAHf7a0Q=",0)</f>
        <v>0</v>
      </c>
      <c r="BR11" t="e">
        <f>AND(Gagnasett!A218,"AAAAAHf7a0U=")</f>
        <v>#VALUE!</v>
      </c>
      <c r="BS11" t="e">
        <f>AND(Gagnasett!B218,"AAAAAHf7a0Y=")</f>
        <v>#VALUE!</v>
      </c>
      <c r="BT11" t="e">
        <f>AND(Gagnasett!C218,"AAAAAHf7a0c=")</f>
        <v>#VALUE!</v>
      </c>
      <c r="BU11" t="e">
        <f>AND(Gagnasett!D218,"AAAAAHf7a0g=")</f>
        <v>#VALUE!</v>
      </c>
      <c r="BV11" t="e">
        <f>AND(Gagnasett!E218,"AAAAAHf7a0k=")</f>
        <v>#VALUE!</v>
      </c>
      <c r="BW11" t="e">
        <f>AND(Gagnasett!F218,"AAAAAHf7a0o=")</f>
        <v>#VALUE!</v>
      </c>
      <c r="BX11" t="e">
        <f>AND(Gagnasett!G218,"AAAAAHf7a0s=")</f>
        <v>#VALUE!</v>
      </c>
      <c r="BY11" t="e">
        <f>AND(Gagnasett!H218,"AAAAAHf7a0w=")</f>
        <v>#VALUE!</v>
      </c>
      <c r="BZ11" t="e">
        <f>AND(Gagnasett!I218,"AAAAAHf7a00=")</f>
        <v>#VALUE!</v>
      </c>
      <c r="CA11" t="e">
        <f>AND(Gagnasett!J218,"AAAAAHf7a04=")</f>
        <v>#VALUE!</v>
      </c>
      <c r="CB11" t="e">
        <f>AND(Gagnasett!K218,"AAAAAHf7a08=")</f>
        <v>#VALUE!</v>
      </c>
      <c r="CC11">
        <f>IF(Gagnasett!219:219,"AAAAAHf7a1A=",0)</f>
        <v>0</v>
      </c>
      <c r="CD11" t="e">
        <f>AND(Gagnasett!A219,"AAAAAHf7a1E=")</f>
        <v>#VALUE!</v>
      </c>
      <c r="CE11" t="e">
        <f>AND(Gagnasett!B219,"AAAAAHf7a1I=")</f>
        <v>#VALUE!</v>
      </c>
      <c r="CF11" t="e">
        <f>AND(Gagnasett!C219,"AAAAAHf7a1M=")</f>
        <v>#VALUE!</v>
      </c>
      <c r="CG11" t="e">
        <f>AND(Gagnasett!D219,"AAAAAHf7a1Q=")</f>
        <v>#VALUE!</v>
      </c>
      <c r="CH11" t="e">
        <f>AND(Gagnasett!E219,"AAAAAHf7a1U=")</f>
        <v>#VALUE!</v>
      </c>
      <c r="CI11" t="e">
        <f>AND(Gagnasett!F219,"AAAAAHf7a1Y=")</f>
        <v>#VALUE!</v>
      </c>
      <c r="CJ11" t="e">
        <f>AND(Gagnasett!G219,"AAAAAHf7a1c=")</f>
        <v>#VALUE!</v>
      </c>
      <c r="CK11" t="e">
        <f>AND(Gagnasett!H219,"AAAAAHf7a1g=")</f>
        <v>#VALUE!</v>
      </c>
      <c r="CL11" t="e">
        <f>AND(Gagnasett!I219,"AAAAAHf7a1k=")</f>
        <v>#VALUE!</v>
      </c>
      <c r="CM11" t="e">
        <f>AND(Gagnasett!J219,"AAAAAHf7a1o=")</f>
        <v>#VALUE!</v>
      </c>
      <c r="CN11" t="e">
        <f>AND(Gagnasett!K219,"AAAAAHf7a1s=")</f>
        <v>#VALUE!</v>
      </c>
      <c r="CO11">
        <f>IF(Gagnasett!220:220,"AAAAAHf7a1w=",0)</f>
        <v>0</v>
      </c>
      <c r="CP11" t="e">
        <f>AND(Gagnasett!A220,"AAAAAHf7a10=")</f>
        <v>#VALUE!</v>
      </c>
      <c r="CQ11" t="e">
        <f>AND(Gagnasett!B220,"AAAAAHf7a14=")</f>
        <v>#VALUE!</v>
      </c>
      <c r="CR11" t="e">
        <f>AND(Gagnasett!C220,"AAAAAHf7a18=")</f>
        <v>#VALUE!</v>
      </c>
      <c r="CS11" t="e">
        <f>AND(Gagnasett!D220,"AAAAAHf7a2A=")</f>
        <v>#VALUE!</v>
      </c>
      <c r="CT11" t="e">
        <f>AND(Gagnasett!E220,"AAAAAHf7a2E=")</f>
        <v>#VALUE!</v>
      </c>
      <c r="CU11" t="e">
        <f>AND(Gagnasett!F220,"AAAAAHf7a2I=")</f>
        <v>#VALUE!</v>
      </c>
      <c r="CV11" t="e">
        <f>AND(Gagnasett!G220,"AAAAAHf7a2M=")</f>
        <v>#VALUE!</v>
      </c>
      <c r="CW11" t="e">
        <f>AND(Gagnasett!H220,"AAAAAHf7a2Q=")</f>
        <v>#VALUE!</v>
      </c>
      <c r="CX11" t="e">
        <f>AND(Gagnasett!I220,"AAAAAHf7a2U=")</f>
        <v>#VALUE!</v>
      </c>
      <c r="CY11" t="e">
        <f>AND(Gagnasett!J220,"AAAAAHf7a2Y=")</f>
        <v>#VALUE!</v>
      </c>
      <c r="CZ11" t="e">
        <f>AND(Gagnasett!K220,"AAAAAHf7a2c=")</f>
        <v>#VALUE!</v>
      </c>
      <c r="DA11">
        <f>IF(Gagnasett!221:221,"AAAAAHf7a2g=",0)</f>
        <v>0</v>
      </c>
      <c r="DB11" t="e">
        <f>AND(Gagnasett!A221,"AAAAAHf7a2k=")</f>
        <v>#VALUE!</v>
      </c>
      <c r="DC11" t="e">
        <f>AND(Gagnasett!B221,"AAAAAHf7a2o=")</f>
        <v>#VALUE!</v>
      </c>
      <c r="DD11" t="e">
        <f>AND(Gagnasett!C221,"AAAAAHf7a2s=")</f>
        <v>#VALUE!</v>
      </c>
      <c r="DE11" t="e">
        <f>AND(Gagnasett!D221,"AAAAAHf7a2w=")</f>
        <v>#VALUE!</v>
      </c>
      <c r="DF11" t="e">
        <f>AND(Gagnasett!E221,"AAAAAHf7a20=")</f>
        <v>#VALUE!</v>
      </c>
      <c r="DG11" t="e">
        <f>AND(Gagnasett!F221,"AAAAAHf7a24=")</f>
        <v>#VALUE!</v>
      </c>
      <c r="DH11" t="e">
        <f>AND(Gagnasett!G221,"AAAAAHf7a28=")</f>
        <v>#VALUE!</v>
      </c>
      <c r="DI11" t="e">
        <f>AND(Gagnasett!H221,"AAAAAHf7a3A=")</f>
        <v>#VALUE!</v>
      </c>
      <c r="DJ11" t="e">
        <f>AND(Gagnasett!I221,"AAAAAHf7a3E=")</f>
        <v>#VALUE!</v>
      </c>
      <c r="DK11" t="e">
        <f>AND(Gagnasett!J221,"AAAAAHf7a3I=")</f>
        <v>#VALUE!</v>
      </c>
      <c r="DL11" t="e">
        <f>AND(Gagnasett!K221,"AAAAAHf7a3M=")</f>
        <v>#VALUE!</v>
      </c>
      <c r="DM11">
        <f>IF(Gagnasett!222:222,"AAAAAHf7a3Q=",0)</f>
        <v>0</v>
      </c>
      <c r="DN11" t="e">
        <f>AND(Gagnasett!A222,"AAAAAHf7a3U=")</f>
        <v>#VALUE!</v>
      </c>
      <c r="DO11" t="e">
        <f>AND(Gagnasett!B222,"AAAAAHf7a3Y=")</f>
        <v>#VALUE!</v>
      </c>
      <c r="DP11" t="e">
        <f>AND(Gagnasett!C222,"AAAAAHf7a3c=")</f>
        <v>#VALUE!</v>
      </c>
      <c r="DQ11" t="e">
        <f>AND(Gagnasett!D222,"AAAAAHf7a3g=")</f>
        <v>#VALUE!</v>
      </c>
      <c r="DR11" t="e">
        <f>AND(Gagnasett!E222,"AAAAAHf7a3k=")</f>
        <v>#VALUE!</v>
      </c>
      <c r="DS11" t="e">
        <f>AND(Gagnasett!F222,"AAAAAHf7a3o=")</f>
        <v>#VALUE!</v>
      </c>
      <c r="DT11" t="e">
        <f>AND(Gagnasett!G222,"AAAAAHf7a3s=")</f>
        <v>#VALUE!</v>
      </c>
      <c r="DU11" t="e">
        <f>AND(Gagnasett!H222,"AAAAAHf7a3w=")</f>
        <v>#VALUE!</v>
      </c>
      <c r="DV11" t="e">
        <f>AND(Gagnasett!I222,"AAAAAHf7a30=")</f>
        <v>#VALUE!</v>
      </c>
      <c r="DW11" t="e">
        <f>AND(Gagnasett!J222,"AAAAAHf7a34=")</f>
        <v>#VALUE!</v>
      </c>
      <c r="DX11" t="e">
        <f>AND(Gagnasett!K222,"AAAAAHf7a38=")</f>
        <v>#VALUE!</v>
      </c>
      <c r="DY11">
        <f>IF(Gagnasett!223:223,"AAAAAHf7a4A=",0)</f>
        <v>0</v>
      </c>
      <c r="DZ11" t="e">
        <f>AND(Gagnasett!A223,"AAAAAHf7a4E=")</f>
        <v>#VALUE!</v>
      </c>
      <c r="EA11" t="e">
        <f>AND(Gagnasett!B223,"AAAAAHf7a4I=")</f>
        <v>#VALUE!</v>
      </c>
      <c r="EB11" t="e">
        <f>AND(Gagnasett!C223,"AAAAAHf7a4M=")</f>
        <v>#VALUE!</v>
      </c>
      <c r="EC11" t="e">
        <f>AND(Gagnasett!D223,"AAAAAHf7a4Q=")</f>
        <v>#VALUE!</v>
      </c>
      <c r="ED11" t="e">
        <f>AND(Gagnasett!E223,"AAAAAHf7a4U=")</f>
        <v>#VALUE!</v>
      </c>
      <c r="EE11" t="e">
        <f>AND(Gagnasett!F223,"AAAAAHf7a4Y=")</f>
        <v>#VALUE!</v>
      </c>
      <c r="EF11" t="e">
        <f>AND(Gagnasett!G223,"AAAAAHf7a4c=")</f>
        <v>#VALUE!</v>
      </c>
      <c r="EG11" t="e">
        <f>AND(Gagnasett!H223,"AAAAAHf7a4g=")</f>
        <v>#VALUE!</v>
      </c>
      <c r="EH11" t="e">
        <f>AND(Gagnasett!I223,"AAAAAHf7a4k=")</f>
        <v>#VALUE!</v>
      </c>
      <c r="EI11" t="e">
        <f>AND(Gagnasett!J223,"AAAAAHf7a4o=")</f>
        <v>#VALUE!</v>
      </c>
      <c r="EJ11" t="e">
        <f>AND(Gagnasett!K223,"AAAAAHf7a4s=")</f>
        <v>#VALUE!</v>
      </c>
      <c r="EK11">
        <f>IF(Gagnasett!224:224,"AAAAAHf7a4w=",0)</f>
        <v>0</v>
      </c>
      <c r="EL11" t="e">
        <f>AND(Gagnasett!A224,"AAAAAHf7a40=")</f>
        <v>#VALUE!</v>
      </c>
      <c r="EM11" t="e">
        <f>AND(Gagnasett!B224,"AAAAAHf7a44=")</f>
        <v>#VALUE!</v>
      </c>
      <c r="EN11" t="e">
        <f>AND(Gagnasett!C224,"AAAAAHf7a48=")</f>
        <v>#VALUE!</v>
      </c>
      <c r="EO11" t="e">
        <f>AND(Gagnasett!D224,"AAAAAHf7a5A=")</f>
        <v>#VALUE!</v>
      </c>
      <c r="EP11" t="e">
        <f>AND(Gagnasett!E224,"AAAAAHf7a5E=")</f>
        <v>#VALUE!</v>
      </c>
      <c r="EQ11" t="e">
        <f>AND(Gagnasett!F224,"AAAAAHf7a5I=")</f>
        <v>#VALUE!</v>
      </c>
      <c r="ER11" t="e">
        <f>AND(Gagnasett!G224,"AAAAAHf7a5M=")</f>
        <v>#VALUE!</v>
      </c>
      <c r="ES11" t="e">
        <f>AND(Gagnasett!H224,"AAAAAHf7a5Q=")</f>
        <v>#VALUE!</v>
      </c>
      <c r="ET11" t="e">
        <f>AND(Gagnasett!I224,"AAAAAHf7a5U=")</f>
        <v>#VALUE!</v>
      </c>
      <c r="EU11" t="e">
        <f>AND(Gagnasett!J224,"AAAAAHf7a5Y=")</f>
        <v>#VALUE!</v>
      </c>
      <c r="EV11" t="e">
        <f>AND(Gagnasett!K224,"AAAAAHf7a5c=")</f>
        <v>#VALUE!</v>
      </c>
      <c r="EW11">
        <f>IF(Gagnasett!225:225,"AAAAAHf7a5g=",0)</f>
        <v>0</v>
      </c>
      <c r="EX11" t="e">
        <f>AND(Gagnasett!A225,"AAAAAHf7a5k=")</f>
        <v>#VALUE!</v>
      </c>
      <c r="EY11" t="e">
        <f>AND(Gagnasett!B225,"AAAAAHf7a5o=")</f>
        <v>#VALUE!</v>
      </c>
      <c r="EZ11" t="e">
        <f>AND(Gagnasett!C225,"AAAAAHf7a5s=")</f>
        <v>#VALUE!</v>
      </c>
      <c r="FA11" t="e">
        <f>AND(Gagnasett!D225,"AAAAAHf7a5w=")</f>
        <v>#VALUE!</v>
      </c>
      <c r="FB11" t="e">
        <f>AND(Gagnasett!E225,"AAAAAHf7a50=")</f>
        <v>#VALUE!</v>
      </c>
      <c r="FC11" t="e">
        <f>AND(Gagnasett!F225,"AAAAAHf7a54=")</f>
        <v>#VALUE!</v>
      </c>
      <c r="FD11" t="e">
        <f>AND(Gagnasett!G225,"AAAAAHf7a58=")</f>
        <v>#VALUE!</v>
      </c>
      <c r="FE11" t="e">
        <f>AND(Gagnasett!H225,"AAAAAHf7a6A=")</f>
        <v>#VALUE!</v>
      </c>
      <c r="FF11" t="e">
        <f>AND(Gagnasett!I225,"AAAAAHf7a6E=")</f>
        <v>#VALUE!</v>
      </c>
      <c r="FG11" t="e">
        <f>AND(Gagnasett!J225,"AAAAAHf7a6I=")</f>
        <v>#VALUE!</v>
      </c>
      <c r="FH11" t="e">
        <f>AND(Gagnasett!K225,"AAAAAHf7a6M=")</f>
        <v>#VALUE!</v>
      </c>
      <c r="FI11">
        <f>IF(Gagnasett!226:226,"AAAAAHf7a6Q=",0)</f>
        <v>0</v>
      </c>
      <c r="FJ11" t="e">
        <f>AND(Gagnasett!A226,"AAAAAHf7a6U=")</f>
        <v>#VALUE!</v>
      </c>
      <c r="FK11" t="e">
        <f>AND(Gagnasett!B226,"AAAAAHf7a6Y=")</f>
        <v>#VALUE!</v>
      </c>
      <c r="FL11" t="e">
        <f>AND(Gagnasett!C226,"AAAAAHf7a6c=")</f>
        <v>#VALUE!</v>
      </c>
      <c r="FM11" t="e">
        <f>AND(Gagnasett!D226,"AAAAAHf7a6g=")</f>
        <v>#VALUE!</v>
      </c>
      <c r="FN11" t="e">
        <f>AND(Gagnasett!E226,"AAAAAHf7a6k=")</f>
        <v>#VALUE!</v>
      </c>
      <c r="FO11" t="e">
        <f>AND(Gagnasett!F226,"AAAAAHf7a6o=")</f>
        <v>#VALUE!</v>
      </c>
      <c r="FP11" t="e">
        <f>AND(Gagnasett!G226,"AAAAAHf7a6s=")</f>
        <v>#VALUE!</v>
      </c>
      <c r="FQ11" t="e">
        <f>AND(Gagnasett!H226,"AAAAAHf7a6w=")</f>
        <v>#VALUE!</v>
      </c>
      <c r="FR11" t="e">
        <f>AND(Gagnasett!I226,"AAAAAHf7a60=")</f>
        <v>#VALUE!</v>
      </c>
      <c r="FS11" t="e">
        <f>AND(Gagnasett!J226,"AAAAAHf7a64=")</f>
        <v>#VALUE!</v>
      </c>
      <c r="FT11" t="e">
        <f>AND(Gagnasett!K226,"AAAAAHf7a68=")</f>
        <v>#VALUE!</v>
      </c>
      <c r="FU11">
        <f>IF(Gagnasett!227:227,"AAAAAHf7a7A=",0)</f>
        <v>0</v>
      </c>
      <c r="FV11" t="e">
        <f>AND(Gagnasett!A227,"AAAAAHf7a7E=")</f>
        <v>#VALUE!</v>
      </c>
      <c r="FW11" t="e">
        <f>AND(Gagnasett!B227,"AAAAAHf7a7I=")</f>
        <v>#VALUE!</v>
      </c>
      <c r="FX11" t="e">
        <f>AND(Gagnasett!C227,"AAAAAHf7a7M=")</f>
        <v>#VALUE!</v>
      </c>
      <c r="FY11" t="e">
        <f>AND(Gagnasett!D227,"AAAAAHf7a7Q=")</f>
        <v>#VALUE!</v>
      </c>
      <c r="FZ11" t="e">
        <f>AND(Gagnasett!E227,"AAAAAHf7a7U=")</f>
        <v>#VALUE!</v>
      </c>
      <c r="GA11" t="e">
        <f>AND(Gagnasett!F227,"AAAAAHf7a7Y=")</f>
        <v>#VALUE!</v>
      </c>
      <c r="GB11" t="e">
        <f>AND(Gagnasett!G227,"AAAAAHf7a7c=")</f>
        <v>#VALUE!</v>
      </c>
      <c r="GC11" t="e">
        <f>AND(Gagnasett!H227,"AAAAAHf7a7g=")</f>
        <v>#VALUE!</v>
      </c>
      <c r="GD11" t="e">
        <f>AND(Gagnasett!I227,"AAAAAHf7a7k=")</f>
        <v>#VALUE!</v>
      </c>
      <c r="GE11" t="e">
        <f>AND(Gagnasett!J227,"AAAAAHf7a7o=")</f>
        <v>#VALUE!</v>
      </c>
      <c r="GF11" t="e">
        <f>AND(Gagnasett!K227,"AAAAAHf7a7s=")</f>
        <v>#VALUE!</v>
      </c>
      <c r="GG11">
        <f>IF(Gagnasett!228:228,"AAAAAHf7a7w=",0)</f>
        <v>0</v>
      </c>
      <c r="GH11" t="e">
        <f>AND(Gagnasett!A228,"AAAAAHf7a70=")</f>
        <v>#VALUE!</v>
      </c>
      <c r="GI11" t="e">
        <f>AND(Gagnasett!B228,"AAAAAHf7a74=")</f>
        <v>#VALUE!</v>
      </c>
      <c r="GJ11" t="e">
        <f>AND(Gagnasett!C228,"AAAAAHf7a78=")</f>
        <v>#VALUE!</v>
      </c>
      <c r="GK11" t="e">
        <f>AND(Gagnasett!D228,"AAAAAHf7a8A=")</f>
        <v>#VALUE!</v>
      </c>
      <c r="GL11" t="e">
        <f>AND(Gagnasett!E228,"AAAAAHf7a8E=")</f>
        <v>#VALUE!</v>
      </c>
      <c r="GM11" t="e">
        <f>AND(Gagnasett!F228,"AAAAAHf7a8I=")</f>
        <v>#VALUE!</v>
      </c>
      <c r="GN11" t="e">
        <f>AND(Gagnasett!G228,"AAAAAHf7a8M=")</f>
        <v>#VALUE!</v>
      </c>
      <c r="GO11" t="e">
        <f>AND(Gagnasett!H228,"AAAAAHf7a8Q=")</f>
        <v>#VALUE!</v>
      </c>
      <c r="GP11" t="e">
        <f>AND(Gagnasett!I228,"AAAAAHf7a8U=")</f>
        <v>#VALUE!</v>
      </c>
      <c r="GQ11" t="e">
        <f>AND(Gagnasett!J228,"AAAAAHf7a8Y=")</f>
        <v>#VALUE!</v>
      </c>
      <c r="GR11" t="e">
        <f>AND(Gagnasett!K228,"AAAAAHf7a8c=")</f>
        <v>#VALUE!</v>
      </c>
      <c r="GS11">
        <f>IF(Gagnasett!229:229,"AAAAAHf7a8g=",0)</f>
        <v>0</v>
      </c>
      <c r="GT11" t="e">
        <f>AND(Gagnasett!A229,"AAAAAHf7a8k=")</f>
        <v>#VALUE!</v>
      </c>
      <c r="GU11" t="e">
        <f>AND(Gagnasett!B229,"AAAAAHf7a8o=")</f>
        <v>#VALUE!</v>
      </c>
      <c r="GV11" t="e">
        <f>AND(Gagnasett!C229,"AAAAAHf7a8s=")</f>
        <v>#VALUE!</v>
      </c>
      <c r="GW11" t="e">
        <f>AND(Gagnasett!D229,"AAAAAHf7a8w=")</f>
        <v>#VALUE!</v>
      </c>
      <c r="GX11" t="e">
        <f>AND(Gagnasett!E229,"AAAAAHf7a80=")</f>
        <v>#VALUE!</v>
      </c>
      <c r="GY11" t="e">
        <f>AND(Gagnasett!F229,"AAAAAHf7a84=")</f>
        <v>#VALUE!</v>
      </c>
      <c r="GZ11" t="e">
        <f>AND(Gagnasett!G229,"AAAAAHf7a88=")</f>
        <v>#VALUE!</v>
      </c>
      <c r="HA11" t="e">
        <f>AND(Gagnasett!H229,"AAAAAHf7a9A=")</f>
        <v>#VALUE!</v>
      </c>
      <c r="HB11" t="e">
        <f>AND(Gagnasett!I229,"AAAAAHf7a9E=")</f>
        <v>#VALUE!</v>
      </c>
      <c r="HC11" t="e">
        <f>AND(Gagnasett!J229,"AAAAAHf7a9I=")</f>
        <v>#VALUE!</v>
      </c>
      <c r="HD11" t="e">
        <f>AND(Gagnasett!K229,"AAAAAHf7a9M=")</f>
        <v>#VALUE!</v>
      </c>
      <c r="HE11">
        <f>IF(Gagnasett!230:230,"AAAAAHf7a9Q=",0)</f>
        <v>0</v>
      </c>
      <c r="HF11" t="e">
        <f>AND(Gagnasett!A230,"AAAAAHf7a9U=")</f>
        <v>#VALUE!</v>
      </c>
      <c r="HG11" t="e">
        <f>AND(Gagnasett!B230,"AAAAAHf7a9Y=")</f>
        <v>#VALUE!</v>
      </c>
      <c r="HH11" t="e">
        <f>AND(Gagnasett!C230,"AAAAAHf7a9c=")</f>
        <v>#VALUE!</v>
      </c>
      <c r="HI11" t="e">
        <f>AND(Gagnasett!D230,"AAAAAHf7a9g=")</f>
        <v>#VALUE!</v>
      </c>
      <c r="HJ11" t="e">
        <f>AND(Gagnasett!E230,"AAAAAHf7a9k=")</f>
        <v>#VALUE!</v>
      </c>
      <c r="HK11" t="e">
        <f>AND(Gagnasett!F230,"AAAAAHf7a9o=")</f>
        <v>#VALUE!</v>
      </c>
      <c r="HL11" t="e">
        <f>AND(Gagnasett!G230,"AAAAAHf7a9s=")</f>
        <v>#VALUE!</v>
      </c>
      <c r="HM11" t="e">
        <f>AND(Gagnasett!H230,"AAAAAHf7a9w=")</f>
        <v>#VALUE!</v>
      </c>
      <c r="HN11" t="e">
        <f>AND(Gagnasett!I230,"AAAAAHf7a90=")</f>
        <v>#VALUE!</v>
      </c>
      <c r="HO11" t="e">
        <f>AND(Gagnasett!J230,"AAAAAHf7a94=")</f>
        <v>#VALUE!</v>
      </c>
      <c r="HP11" t="e">
        <f>AND(Gagnasett!K230,"AAAAAHf7a98=")</f>
        <v>#VALUE!</v>
      </c>
      <c r="HQ11">
        <f>IF(Gagnasett!231:231,"AAAAAHf7a+A=",0)</f>
        <v>0</v>
      </c>
      <c r="HR11" t="e">
        <f>AND(Gagnasett!A231,"AAAAAHf7a+E=")</f>
        <v>#VALUE!</v>
      </c>
      <c r="HS11" t="e">
        <f>AND(Gagnasett!B231,"AAAAAHf7a+I=")</f>
        <v>#VALUE!</v>
      </c>
      <c r="HT11" t="e">
        <f>AND(Gagnasett!C231,"AAAAAHf7a+M=")</f>
        <v>#VALUE!</v>
      </c>
      <c r="HU11" t="e">
        <f>AND(Gagnasett!D231,"AAAAAHf7a+Q=")</f>
        <v>#VALUE!</v>
      </c>
      <c r="HV11" t="e">
        <f>AND(Gagnasett!E231,"AAAAAHf7a+U=")</f>
        <v>#VALUE!</v>
      </c>
      <c r="HW11" t="e">
        <f>AND(Gagnasett!F231,"AAAAAHf7a+Y=")</f>
        <v>#VALUE!</v>
      </c>
      <c r="HX11" t="e">
        <f>AND(Gagnasett!G231,"AAAAAHf7a+c=")</f>
        <v>#VALUE!</v>
      </c>
      <c r="HY11" t="e">
        <f>AND(Gagnasett!H231,"AAAAAHf7a+g=")</f>
        <v>#VALUE!</v>
      </c>
      <c r="HZ11" t="e">
        <f>AND(Gagnasett!I231,"AAAAAHf7a+k=")</f>
        <v>#VALUE!</v>
      </c>
      <c r="IA11" t="e">
        <f>AND(Gagnasett!J231,"AAAAAHf7a+o=")</f>
        <v>#VALUE!</v>
      </c>
      <c r="IB11" t="e">
        <f>AND(Gagnasett!K231,"AAAAAHf7a+s=")</f>
        <v>#VALUE!</v>
      </c>
      <c r="IC11">
        <f>IF(Gagnasett!232:232,"AAAAAHf7a+w=",0)</f>
        <v>0</v>
      </c>
      <c r="ID11" t="e">
        <f>AND(Gagnasett!A232,"AAAAAHf7a+0=")</f>
        <v>#VALUE!</v>
      </c>
      <c r="IE11" t="e">
        <f>AND(Gagnasett!B232,"AAAAAHf7a+4=")</f>
        <v>#VALUE!</v>
      </c>
      <c r="IF11" t="e">
        <f>AND(Gagnasett!C232,"AAAAAHf7a+8=")</f>
        <v>#VALUE!</v>
      </c>
      <c r="IG11" t="e">
        <f>AND(Gagnasett!D232,"AAAAAHf7a/A=")</f>
        <v>#VALUE!</v>
      </c>
      <c r="IH11" t="e">
        <f>AND(Gagnasett!E232,"AAAAAHf7a/E=")</f>
        <v>#VALUE!</v>
      </c>
      <c r="II11" t="e">
        <f>AND(Gagnasett!F232,"AAAAAHf7a/I=")</f>
        <v>#VALUE!</v>
      </c>
      <c r="IJ11" t="e">
        <f>AND(Gagnasett!G232,"AAAAAHf7a/M=")</f>
        <v>#VALUE!</v>
      </c>
      <c r="IK11" t="e">
        <f>AND(Gagnasett!H232,"AAAAAHf7a/Q=")</f>
        <v>#VALUE!</v>
      </c>
      <c r="IL11" t="e">
        <f>AND(Gagnasett!I232,"AAAAAHf7a/U=")</f>
        <v>#VALUE!</v>
      </c>
      <c r="IM11" t="e">
        <f>AND(Gagnasett!J232,"AAAAAHf7a/Y=")</f>
        <v>#VALUE!</v>
      </c>
      <c r="IN11" t="e">
        <f>AND(Gagnasett!K232,"AAAAAHf7a/c=")</f>
        <v>#VALUE!</v>
      </c>
      <c r="IO11">
        <f>IF(Gagnasett!233:233,"AAAAAHf7a/g=",0)</f>
        <v>0</v>
      </c>
      <c r="IP11" t="e">
        <f>AND(Gagnasett!A233,"AAAAAHf7a/k=")</f>
        <v>#VALUE!</v>
      </c>
      <c r="IQ11" t="e">
        <f>AND(Gagnasett!B233,"AAAAAHf7a/o=")</f>
        <v>#VALUE!</v>
      </c>
      <c r="IR11" t="e">
        <f>AND(Gagnasett!C233,"AAAAAHf7a/s=")</f>
        <v>#VALUE!</v>
      </c>
      <c r="IS11" t="e">
        <f>AND(Gagnasett!D233,"AAAAAHf7a/w=")</f>
        <v>#VALUE!</v>
      </c>
      <c r="IT11" t="e">
        <f>AND(Gagnasett!E233,"AAAAAHf7a/0=")</f>
        <v>#VALUE!</v>
      </c>
      <c r="IU11" t="e">
        <f>AND(Gagnasett!F233,"AAAAAHf7a/4=")</f>
        <v>#VALUE!</v>
      </c>
      <c r="IV11" t="e">
        <f>AND(Gagnasett!G233,"AAAAAHf7a/8=")</f>
        <v>#VALUE!</v>
      </c>
    </row>
    <row r="12" spans="1:256" x14ac:dyDescent="0.3">
      <c r="A12" t="e">
        <f>AND(Gagnasett!H233,"AAAAAD981QA=")</f>
        <v>#VALUE!</v>
      </c>
      <c r="B12" t="e">
        <f>AND(Gagnasett!I233,"AAAAAD981QE=")</f>
        <v>#VALUE!</v>
      </c>
      <c r="C12" t="e">
        <f>AND(Gagnasett!J233,"AAAAAD981QI=")</f>
        <v>#VALUE!</v>
      </c>
      <c r="D12" t="e">
        <f>AND(Gagnasett!K233,"AAAAAD981QM=")</f>
        <v>#VALUE!</v>
      </c>
      <c r="E12" t="e">
        <f>IF(Gagnasett!234:234,"AAAAAD981QQ=",0)</f>
        <v>#VALUE!</v>
      </c>
      <c r="F12" t="e">
        <f>AND(Gagnasett!A234,"AAAAAD981QU=")</f>
        <v>#VALUE!</v>
      </c>
      <c r="G12" t="e">
        <f>AND(Gagnasett!B234,"AAAAAD981QY=")</f>
        <v>#VALUE!</v>
      </c>
      <c r="H12" t="e">
        <f>AND(Gagnasett!C234,"AAAAAD981Qc=")</f>
        <v>#VALUE!</v>
      </c>
      <c r="I12" t="e">
        <f>AND(Gagnasett!D234,"AAAAAD981Qg=")</f>
        <v>#VALUE!</v>
      </c>
      <c r="J12" t="e">
        <f>AND(Gagnasett!E234,"AAAAAD981Qk=")</f>
        <v>#VALUE!</v>
      </c>
      <c r="K12" t="e">
        <f>AND(Gagnasett!F234,"AAAAAD981Qo=")</f>
        <v>#VALUE!</v>
      </c>
      <c r="L12" t="e">
        <f>AND(Gagnasett!G234,"AAAAAD981Qs=")</f>
        <v>#VALUE!</v>
      </c>
      <c r="M12" t="e">
        <f>AND(Gagnasett!H234,"AAAAAD981Qw=")</f>
        <v>#VALUE!</v>
      </c>
      <c r="N12" t="e">
        <f>AND(Gagnasett!I234,"AAAAAD981Q0=")</f>
        <v>#VALUE!</v>
      </c>
      <c r="O12" t="e">
        <f>AND(Gagnasett!J234,"AAAAAD981Q4=")</f>
        <v>#VALUE!</v>
      </c>
      <c r="P12" t="e">
        <f>AND(Gagnasett!K234,"AAAAAD981Q8=")</f>
        <v>#VALUE!</v>
      </c>
      <c r="Q12">
        <f>IF(Gagnasett!235:235,"AAAAAD981RA=",0)</f>
        <v>0</v>
      </c>
      <c r="R12" t="e">
        <f>AND(Gagnasett!A235,"AAAAAD981RE=")</f>
        <v>#VALUE!</v>
      </c>
      <c r="S12" t="e">
        <f>AND(Gagnasett!B235,"AAAAAD981RI=")</f>
        <v>#VALUE!</v>
      </c>
      <c r="T12" t="e">
        <f>AND(Gagnasett!C235,"AAAAAD981RM=")</f>
        <v>#VALUE!</v>
      </c>
      <c r="U12" t="e">
        <f>AND(Gagnasett!D235,"AAAAAD981RQ=")</f>
        <v>#VALUE!</v>
      </c>
      <c r="V12" t="e">
        <f>AND(Gagnasett!E235,"AAAAAD981RU=")</f>
        <v>#VALUE!</v>
      </c>
      <c r="W12" t="e">
        <f>AND(Gagnasett!F235,"AAAAAD981RY=")</f>
        <v>#VALUE!</v>
      </c>
      <c r="X12" t="e">
        <f>AND(Gagnasett!G235,"AAAAAD981Rc=")</f>
        <v>#VALUE!</v>
      </c>
      <c r="Y12" t="e">
        <f>AND(Gagnasett!H235,"AAAAAD981Rg=")</f>
        <v>#VALUE!</v>
      </c>
      <c r="Z12" t="e">
        <f>AND(Gagnasett!I235,"AAAAAD981Rk=")</f>
        <v>#VALUE!</v>
      </c>
      <c r="AA12" t="e">
        <f>AND(Gagnasett!J235,"AAAAAD981Ro=")</f>
        <v>#VALUE!</v>
      </c>
      <c r="AB12" t="e">
        <f>AND(Gagnasett!K235,"AAAAAD981Rs=")</f>
        <v>#VALUE!</v>
      </c>
      <c r="AC12">
        <f>IF(Gagnasett!236:236,"AAAAAD981Rw=",0)</f>
        <v>0</v>
      </c>
      <c r="AD12" t="e">
        <f>AND(Gagnasett!A236,"AAAAAD981R0=")</f>
        <v>#VALUE!</v>
      </c>
      <c r="AE12" t="e">
        <f>AND(Gagnasett!B236,"AAAAAD981R4=")</f>
        <v>#VALUE!</v>
      </c>
      <c r="AF12" t="e">
        <f>AND(Gagnasett!C236,"AAAAAD981R8=")</f>
        <v>#VALUE!</v>
      </c>
      <c r="AG12" t="e">
        <f>AND(Gagnasett!D236,"AAAAAD981SA=")</f>
        <v>#VALUE!</v>
      </c>
      <c r="AH12" t="e">
        <f>AND(Gagnasett!E236,"AAAAAD981SE=")</f>
        <v>#VALUE!</v>
      </c>
      <c r="AI12" t="e">
        <f>AND(Gagnasett!F236,"AAAAAD981SI=")</f>
        <v>#VALUE!</v>
      </c>
      <c r="AJ12" t="e">
        <f>AND(Gagnasett!G236,"AAAAAD981SM=")</f>
        <v>#VALUE!</v>
      </c>
      <c r="AK12" t="e">
        <f>AND(Gagnasett!H236,"AAAAAD981SQ=")</f>
        <v>#VALUE!</v>
      </c>
      <c r="AL12" t="e">
        <f>AND(Gagnasett!I236,"AAAAAD981SU=")</f>
        <v>#VALUE!</v>
      </c>
      <c r="AM12" t="e">
        <f>AND(Gagnasett!J236,"AAAAAD981SY=")</f>
        <v>#VALUE!</v>
      </c>
      <c r="AN12" t="e">
        <f>AND(Gagnasett!K236,"AAAAAD981Sc=")</f>
        <v>#VALUE!</v>
      </c>
      <c r="AO12">
        <f>IF(Gagnasett!237:237,"AAAAAD981Sg=",0)</f>
        <v>0</v>
      </c>
      <c r="AP12" t="e">
        <f>AND(Gagnasett!A237,"AAAAAD981Sk=")</f>
        <v>#VALUE!</v>
      </c>
      <c r="AQ12" t="e">
        <f>AND(Gagnasett!B237,"AAAAAD981So=")</f>
        <v>#VALUE!</v>
      </c>
      <c r="AR12" t="e">
        <f>AND(Gagnasett!C237,"AAAAAD981Ss=")</f>
        <v>#VALUE!</v>
      </c>
      <c r="AS12" t="e">
        <f>AND(Gagnasett!D237,"AAAAAD981Sw=")</f>
        <v>#VALUE!</v>
      </c>
      <c r="AT12" t="e">
        <f>AND(Gagnasett!E237,"AAAAAD981S0=")</f>
        <v>#VALUE!</v>
      </c>
      <c r="AU12" t="e">
        <f>AND(Gagnasett!F237,"AAAAAD981S4=")</f>
        <v>#VALUE!</v>
      </c>
      <c r="AV12" t="e">
        <f>AND(Gagnasett!G237,"AAAAAD981S8=")</f>
        <v>#VALUE!</v>
      </c>
      <c r="AW12" t="e">
        <f>AND(Gagnasett!H237,"AAAAAD981TA=")</f>
        <v>#VALUE!</v>
      </c>
      <c r="AX12" t="e">
        <f>AND(Gagnasett!I237,"AAAAAD981TE=")</f>
        <v>#VALUE!</v>
      </c>
      <c r="AY12" t="e">
        <f>AND(Gagnasett!J237,"AAAAAD981TI=")</f>
        <v>#VALUE!</v>
      </c>
      <c r="AZ12" t="e">
        <f>AND(Gagnasett!K237,"AAAAAD981TM=")</f>
        <v>#VALUE!</v>
      </c>
      <c r="BA12">
        <f>IF(Gagnasett!238:238,"AAAAAD981TQ=",0)</f>
        <v>0</v>
      </c>
      <c r="BB12" t="e">
        <f>AND(Gagnasett!A238,"AAAAAD981TU=")</f>
        <v>#VALUE!</v>
      </c>
      <c r="BC12" t="e">
        <f>AND(Gagnasett!B238,"AAAAAD981TY=")</f>
        <v>#VALUE!</v>
      </c>
      <c r="BD12" t="e">
        <f>AND(Gagnasett!C238,"AAAAAD981Tc=")</f>
        <v>#VALUE!</v>
      </c>
      <c r="BE12" t="e">
        <f>AND(Gagnasett!D238,"AAAAAD981Tg=")</f>
        <v>#VALUE!</v>
      </c>
      <c r="BF12" t="e">
        <f>AND(Gagnasett!E238,"AAAAAD981Tk=")</f>
        <v>#VALUE!</v>
      </c>
      <c r="BG12" t="e">
        <f>AND(Gagnasett!F238,"AAAAAD981To=")</f>
        <v>#VALUE!</v>
      </c>
      <c r="BH12" t="e">
        <f>AND(Gagnasett!G238,"AAAAAD981Ts=")</f>
        <v>#VALUE!</v>
      </c>
      <c r="BI12" t="e">
        <f>AND(Gagnasett!H238,"AAAAAD981Tw=")</f>
        <v>#VALUE!</v>
      </c>
      <c r="BJ12" t="e">
        <f>AND(Gagnasett!I238,"AAAAAD981T0=")</f>
        <v>#VALUE!</v>
      </c>
      <c r="BK12" t="e">
        <f>AND(Gagnasett!J238,"AAAAAD981T4=")</f>
        <v>#VALUE!</v>
      </c>
      <c r="BL12" t="e">
        <f>AND(Gagnasett!K238,"AAAAAD981T8=")</f>
        <v>#VALUE!</v>
      </c>
      <c r="BM12">
        <f>IF(Gagnasett!239:239,"AAAAAD981UA=",0)</f>
        <v>0</v>
      </c>
      <c r="BN12" t="e">
        <f>AND(Gagnasett!A239,"AAAAAD981UE=")</f>
        <v>#VALUE!</v>
      </c>
      <c r="BO12" t="e">
        <f>AND(Gagnasett!B239,"AAAAAD981UI=")</f>
        <v>#VALUE!</v>
      </c>
      <c r="BP12" t="e">
        <f>AND(Gagnasett!C239,"AAAAAD981UM=")</f>
        <v>#VALUE!</v>
      </c>
      <c r="BQ12" t="e">
        <f>AND(Gagnasett!D239,"AAAAAD981UQ=")</f>
        <v>#VALUE!</v>
      </c>
      <c r="BR12" t="e">
        <f>AND(Gagnasett!E239,"AAAAAD981UU=")</f>
        <v>#VALUE!</v>
      </c>
      <c r="BS12" t="e">
        <f>AND(Gagnasett!F239,"AAAAAD981UY=")</f>
        <v>#VALUE!</v>
      </c>
      <c r="BT12" t="e">
        <f>AND(Gagnasett!G239,"AAAAAD981Uc=")</f>
        <v>#VALUE!</v>
      </c>
      <c r="BU12" t="e">
        <f>AND(Gagnasett!H239,"AAAAAD981Ug=")</f>
        <v>#VALUE!</v>
      </c>
      <c r="BV12" t="e">
        <f>AND(Gagnasett!I239,"AAAAAD981Uk=")</f>
        <v>#VALUE!</v>
      </c>
      <c r="BW12" t="e">
        <f>AND(Gagnasett!J239,"AAAAAD981Uo=")</f>
        <v>#VALUE!</v>
      </c>
      <c r="BX12" t="e">
        <f>AND(Gagnasett!K239,"AAAAAD981Us=")</f>
        <v>#VALUE!</v>
      </c>
      <c r="BY12">
        <f>IF(Gagnasett!240:240,"AAAAAD981Uw=",0)</f>
        <v>0</v>
      </c>
      <c r="BZ12" t="e">
        <f>AND(Gagnasett!A240,"AAAAAD981U0=")</f>
        <v>#VALUE!</v>
      </c>
      <c r="CA12" t="e">
        <f>AND(Gagnasett!B240,"AAAAAD981U4=")</f>
        <v>#VALUE!</v>
      </c>
      <c r="CB12" t="e">
        <f>AND(Gagnasett!C240,"AAAAAD981U8=")</f>
        <v>#VALUE!</v>
      </c>
      <c r="CC12" t="e">
        <f>AND(Gagnasett!D240,"AAAAAD981VA=")</f>
        <v>#VALUE!</v>
      </c>
      <c r="CD12" t="e">
        <f>AND(Gagnasett!E240,"AAAAAD981VE=")</f>
        <v>#VALUE!</v>
      </c>
      <c r="CE12" t="e">
        <f>AND(Gagnasett!F240,"AAAAAD981VI=")</f>
        <v>#VALUE!</v>
      </c>
      <c r="CF12" t="e">
        <f>AND(Gagnasett!G240,"AAAAAD981VM=")</f>
        <v>#VALUE!</v>
      </c>
      <c r="CG12" t="e">
        <f>AND(Gagnasett!H240,"AAAAAD981VQ=")</f>
        <v>#VALUE!</v>
      </c>
      <c r="CH12" t="e">
        <f>AND(Gagnasett!I240,"AAAAAD981VU=")</f>
        <v>#VALUE!</v>
      </c>
      <c r="CI12" t="e">
        <f>AND(Gagnasett!J240,"AAAAAD981VY=")</f>
        <v>#VALUE!</v>
      </c>
      <c r="CJ12" t="e">
        <f>AND(Gagnasett!K240,"AAAAAD981Vc=")</f>
        <v>#VALUE!</v>
      </c>
      <c r="CK12">
        <f>IF(Gagnasett!241:241,"AAAAAD981Vg=",0)</f>
        <v>0</v>
      </c>
      <c r="CL12" t="e">
        <f>AND(Gagnasett!A241,"AAAAAD981Vk=")</f>
        <v>#VALUE!</v>
      </c>
      <c r="CM12" t="e">
        <f>AND(Gagnasett!B241,"AAAAAD981Vo=")</f>
        <v>#VALUE!</v>
      </c>
      <c r="CN12" t="e">
        <f>AND(Gagnasett!C241,"AAAAAD981Vs=")</f>
        <v>#VALUE!</v>
      </c>
      <c r="CO12" t="e">
        <f>AND(Gagnasett!D241,"AAAAAD981Vw=")</f>
        <v>#VALUE!</v>
      </c>
      <c r="CP12" t="e">
        <f>AND(Gagnasett!E241,"AAAAAD981V0=")</f>
        <v>#VALUE!</v>
      </c>
      <c r="CQ12" t="e">
        <f>AND(Gagnasett!F241,"AAAAAD981V4=")</f>
        <v>#VALUE!</v>
      </c>
      <c r="CR12" t="e">
        <f>AND(Gagnasett!G241,"AAAAAD981V8=")</f>
        <v>#VALUE!</v>
      </c>
      <c r="CS12" t="e">
        <f>AND(Gagnasett!H241,"AAAAAD981WA=")</f>
        <v>#VALUE!</v>
      </c>
      <c r="CT12" t="e">
        <f>AND(Gagnasett!I241,"AAAAAD981WE=")</f>
        <v>#VALUE!</v>
      </c>
      <c r="CU12" t="e">
        <f>AND(Gagnasett!J241,"AAAAAD981WI=")</f>
        <v>#VALUE!</v>
      </c>
      <c r="CV12" t="e">
        <f>AND(Gagnasett!K241,"AAAAAD981WM=")</f>
        <v>#VALUE!</v>
      </c>
      <c r="CW12">
        <f>IF(Gagnasett!242:242,"AAAAAD981WQ=",0)</f>
        <v>0</v>
      </c>
      <c r="CX12" t="e">
        <f>AND(Gagnasett!A242,"AAAAAD981WU=")</f>
        <v>#VALUE!</v>
      </c>
      <c r="CY12" t="e">
        <f>AND(Gagnasett!B242,"AAAAAD981WY=")</f>
        <v>#VALUE!</v>
      </c>
      <c r="CZ12" t="e">
        <f>AND(Gagnasett!C242,"AAAAAD981Wc=")</f>
        <v>#VALUE!</v>
      </c>
      <c r="DA12" t="e">
        <f>AND(Gagnasett!D242,"AAAAAD981Wg=")</f>
        <v>#VALUE!</v>
      </c>
      <c r="DB12" t="e">
        <f>AND(Gagnasett!E242,"AAAAAD981Wk=")</f>
        <v>#VALUE!</v>
      </c>
      <c r="DC12" t="e">
        <f>AND(Gagnasett!F242,"AAAAAD981Wo=")</f>
        <v>#VALUE!</v>
      </c>
      <c r="DD12" t="e">
        <f>AND(Gagnasett!G242,"AAAAAD981Ws=")</f>
        <v>#VALUE!</v>
      </c>
      <c r="DE12" t="e">
        <f>AND(Gagnasett!H242,"AAAAAD981Ww=")</f>
        <v>#VALUE!</v>
      </c>
      <c r="DF12" t="e">
        <f>AND(Gagnasett!I242,"AAAAAD981W0=")</f>
        <v>#VALUE!</v>
      </c>
      <c r="DG12" t="e">
        <f>AND(Gagnasett!J242,"AAAAAD981W4=")</f>
        <v>#VALUE!</v>
      </c>
      <c r="DH12" t="e">
        <f>AND(Gagnasett!K242,"AAAAAD981W8=")</f>
        <v>#VALUE!</v>
      </c>
      <c r="DI12">
        <f>IF(Gagnasett!243:243,"AAAAAD981XA=",0)</f>
        <v>0</v>
      </c>
      <c r="DJ12" t="e">
        <f>AND(Gagnasett!A243,"AAAAAD981XE=")</f>
        <v>#VALUE!</v>
      </c>
      <c r="DK12" t="e">
        <f>AND(Gagnasett!B243,"AAAAAD981XI=")</f>
        <v>#VALUE!</v>
      </c>
      <c r="DL12" t="e">
        <f>AND(Gagnasett!C243,"AAAAAD981XM=")</f>
        <v>#VALUE!</v>
      </c>
      <c r="DM12" t="e">
        <f>AND(Gagnasett!D243,"AAAAAD981XQ=")</f>
        <v>#VALUE!</v>
      </c>
      <c r="DN12" t="e">
        <f>AND(Gagnasett!E243,"AAAAAD981XU=")</f>
        <v>#VALUE!</v>
      </c>
      <c r="DO12" t="e">
        <f>AND(Gagnasett!F243,"AAAAAD981XY=")</f>
        <v>#VALUE!</v>
      </c>
      <c r="DP12" t="e">
        <f>AND(Gagnasett!G243,"AAAAAD981Xc=")</f>
        <v>#VALUE!</v>
      </c>
      <c r="DQ12" t="e">
        <f>AND(Gagnasett!H243,"AAAAAD981Xg=")</f>
        <v>#VALUE!</v>
      </c>
      <c r="DR12" t="e">
        <f>AND(Gagnasett!I243,"AAAAAD981Xk=")</f>
        <v>#VALUE!</v>
      </c>
      <c r="DS12" t="e">
        <f>AND(Gagnasett!J243,"AAAAAD981Xo=")</f>
        <v>#VALUE!</v>
      </c>
      <c r="DT12" t="e">
        <f>AND(Gagnasett!K243,"AAAAAD981Xs=")</f>
        <v>#VALUE!</v>
      </c>
      <c r="DU12">
        <f>IF(Gagnasett!244:244,"AAAAAD981Xw=",0)</f>
        <v>0</v>
      </c>
      <c r="DV12" t="e">
        <f>AND(Gagnasett!A244,"AAAAAD981X0=")</f>
        <v>#VALUE!</v>
      </c>
      <c r="DW12" t="e">
        <f>AND(Gagnasett!B244,"AAAAAD981X4=")</f>
        <v>#VALUE!</v>
      </c>
      <c r="DX12" t="e">
        <f>AND(Gagnasett!C244,"AAAAAD981X8=")</f>
        <v>#VALUE!</v>
      </c>
      <c r="DY12" t="e">
        <f>AND(Gagnasett!D244,"AAAAAD981YA=")</f>
        <v>#VALUE!</v>
      </c>
      <c r="DZ12" t="e">
        <f>AND(Gagnasett!E244,"AAAAAD981YE=")</f>
        <v>#VALUE!</v>
      </c>
      <c r="EA12" t="e">
        <f>AND(Gagnasett!F244,"AAAAAD981YI=")</f>
        <v>#VALUE!</v>
      </c>
      <c r="EB12" t="e">
        <f>AND(Gagnasett!G244,"AAAAAD981YM=")</f>
        <v>#VALUE!</v>
      </c>
      <c r="EC12" t="e">
        <f>AND(Gagnasett!H244,"AAAAAD981YQ=")</f>
        <v>#VALUE!</v>
      </c>
      <c r="ED12" t="e">
        <f>AND(Gagnasett!I244,"AAAAAD981YU=")</f>
        <v>#VALUE!</v>
      </c>
      <c r="EE12" t="e">
        <f>AND(Gagnasett!J244,"AAAAAD981YY=")</f>
        <v>#VALUE!</v>
      </c>
      <c r="EF12" t="e">
        <f>AND(Gagnasett!K244,"AAAAAD981Yc=")</f>
        <v>#VALUE!</v>
      </c>
      <c r="EG12">
        <f>IF(Gagnasett!245:245,"AAAAAD981Yg=",0)</f>
        <v>0</v>
      </c>
      <c r="EH12" t="e">
        <f>AND(Gagnasett!A245,"AAAAAD981Yk=")</f>
        <v>#VALUE!</v>
      </c>
      <c r="EI12" t="e">
        <f>AND(Gagnasett!B245,"AAAAAD981Yo=")</f>
        <v>#VALUE!</v>
      </c>
      <c r="EJ12" t="e">
        <f>AND(Gagnasett!C245,"AAAAAD981Ys=")</f>
        <v>#VALUE!</v>
      </c>
      <c r="EK12" t="e">
        <f>AND(Gagnasett!D245,"AAAAAD981Yw=")</f>
        <v>#VALUE!</v>
      </c>
      <c r="EL12" t="e">
        <f>AND(Gagnasett!E245,"AAAAAD981Y0=")</f>
        <v>#VALUE!</v>
      </c>
      <c r="EM12" t="e">
        <f>AND(Gagnasett!F245,"AAAAAD981Y4=")</f>
        <v>#VALUE!</v>
      </c>
      <c r="EN12" t="e">
        <f>AND(Gagnasett!G245,"AAAAAD981Y8=")</f>
        <v>#VALUE!</v>
      </c>
      <c r="EO12" t="e">
        <f>AND(Gagnasett!H245,"AAAAAD981ZA=")</f>
        <v>#VALUE!</v>
      </c>
      <c r="EP12" t="e">
        <f>AND(Gagnasett!I245,"AAAAAD981ZE=")</f>
        <v>#VALUE!</v>
      </c>
      <c r="EQ12" t="e">
        <f>AND(Gagnasett!J245,"AAAAAD981ZI=")</f>
        <v>#VALUE!</v>
      </c>
      <c r="ER12" t="e">
        <f>AND(Gagnasett!K245,"AAAAAD981ZM=")</f>
        <v>#VALUE!</v>
      </c>
      <c r="ES12">
        <f>IF(Gagnasett!246:246,"AAAAAD981ZQ=",0)</f>
        <v>0</v>
      </c>
      <c r="ET12" t="e">
        <f>AND(Gagnasett!A246,"AAAAAD981ZU=")</f>
        <v>#VALUE!</v>
      </c>
      <c r="EU12" t="e">
        <f>AND(Gagnasett!B246,"AAAAAD981ZY=")</f>
        <v>#VALUE!</v>
      </c>
      <c r="EV12" t="e">
        <f>AND(Gagnasett!C246,"AAAAAD981Zc=")</f>
        <v>#VALUE!</v>
      </c>
      <c r="EW12" t="e">
        <f>AND(Gagnasett!D246,"AAAAAD981Zg=")</f>
        <v>#VALUE!</v>
      </c>
      <c r="EX12" t="e">
        <f>AND(Gagnasett!E246,"AAAAAD981Zk=")</f>
        <v>#VALUE!</v>
      </c>
      <c r="EY12" t="e">
        <f>AND(Gagnasett!F246,"AAAAAD981Zo=")</f>
        <v>#VALUE!</v>
      </c>
      <c r="EZ12" t="e">
        <f>AND(Gagnasett!G246,"AAAAAD981Zs=")</f>
        <v>#VALUE!</v>
      </c>
      <c r="FA12" t="e">
        <f>AND(Gagnasett!H246,"AAAAAD981Zw=")</f>
        <v>#VALUE!</v>
      </c>
      <c r="FB12" t="e">
        <f>AND(Gagnasett!I246,"AAAAAD981Z0=")</f>
        <v>#VALUE!</v>
      </c>
      <c r="FC12" t="e">
        <f>AND(Gagnasett!J246,"AAAAAD981Z4=")</f>
        <v>#VALUE!</v>
      </c>
      <c r="FD12" t="e">
        <f>AND(Gagnasett!K246,"AAAAAD981Z8=")</f>
        <v>#VALUE!</v>
      </c>
      <c r="FE12">
        <f>IF(Gagnasett!247:247,"AAAAAD981aA=",0)</f>
        <v>0</v>
      </c>
      <c r="FF12" t="e">
        <f>AND(Gagnasett!A247,"AAAAAD981aE=")</f>
        <v>#VALUE!</v>
      </c>
      <c r="FG12" t="e">
        <f>AND(Gagnasett!B247,"AAAAAD981aI=")</f>
        <v>#VALUE!</v>
      </c>
      <c r="FH12" t="e">
        <f>AND(Gagnasett!C247,"AAAAAD981aM=")</f>
        <v>#VALUE!</v>
      </c>
      <c r="FI12" t="e">
        <f>AND(Gagnasett!D247,"AAAAAD981aQ=")</f>
        <v>#VALUE!</v>
      </c>
      <c r="FJ12" t="e">
        <f>AND(Gagnasett!E247,"AAAAAD981aU=")</f>
        <v>#VALUE!</v>
      </c>
      <c r="FK12" t="e">
        <f>AND(Gagnasett!F247,"AAAAAD981aY=")</f>
        <v>#VALUE!</v>
      </c>
      <c r="FL12" t="e">
        <f>AND(Gagnasett!G247,"AAAAAD981ac=")</f>
        <v>#VALUE!</v>
      </c>
      <c r="FM12" t="e">
        <f>AND(Gagnasett!H247,"AAAAAD981ag=")</f>
        <v>#VALUE!</v>
      </c>
      <c r="FN12" t="e">
        <f>AND(Gagnasett!I247,"AAAAAD981ak=")</f>
        <v>#VALUE!</v>
      </c>
      <c r="FO12" t="e">
        <f>AND(Gagnasett!J247,"AAAAAD981ao=")</f>
        <v>#VALUE!</v>
      </c>
      <c r="FP12" t="e">
        <f>AND(Gagnasett!K247,"AAAAAD981as=")</f>
        <v>#VALUE!</v>
      </c>
      <c r="FQ12" t="e">
        <f>IF(Gagnasett!#REF!,"AAAAAD981aw=",0)</f>
        <v>#REF!</v>
      </c>
      <c r="FR12" t="e">
        <f>AND(Gagnasett!#REF!,"AAAAAD981a0=")</f>
        <v>#REF!</v>
      </c>
      <c r="FS12" t="e">
        <f>AND(Gagnasett!#REF!,"AAAAAD981a4=")</f>
        <v>#REF!</v>
      </c>
      <c r="FT12" t="e">
        <f>AND(Gagnasett!#REF!,"AAAAAD981a8=")</f>
        <v>#REF!</v>
      </c>
      <c r="FU12" t="e">
        <f>AND(Gagnasett!#REF!,"AAAAAD981bA=")</f>
        <v>#REF!</v>
      </c>
      <c r="FV12" t="e">
        <f>AND(Gagnasett!#REF!,"AAAAAD981bE=")</f>
        <v>#REF!</v>
      </c>
      <c r="FW12" t="e">
        <f>AND(Gagnasett!#REF!,"AAAAAD981bI=")</f>
        <v>#REF!</v>
      </c>
      <c r="FX12" t="e">
        <f>AND(Gagnasett!#REF!,"AAAAAD981bM=")</f>
        <v>#REF!</v>
      </c>
      <c r="FY12" t="e">
        <f>AND(Gagnasett!#REF!,"AAAAAD981bQ=")</f>
        <v>#REF!</v>
      </c>
      <c r="FZ12" t="e">
        <f>AND(Gagnasett!#REF!,"AAAAAD981bU=")</f>
        <v>#REF!</v>
      </c>
      <c r="GA12" t="e">
        <f>AND(Gagnasett!#REF!,"AAAAAD981bY=")</f>
        <v>#REF!</v>
      </c>
      <c r="GB12" t="e">
        <f>AND(Gagnasett!#REF!,"AAAAAD981bc=")</f>
        <v>#REF!</v>
      </c>
      <c r="GC12">
        <f>IF(Gagnasett!248:248,"AAAAAD981bg=",0)</f>
        <v>0</v>
      </c>
      <c r="GD12" t="e">
        <f>AND(Gagnasett!A248,"AAAAAD981bk=")</f>
        <v>#VALUE!</v>
      </c>
      <c r="GE12" t="e">
        <f>AND(Gagnasett!B248,"AAAAAD981bo=")</f>
        <v>#VALUE!</v>
      </c>
      <c r="GF12" t="e">
        <f>AND(Gagnasett!C248,"AAAAAD981bs=")</f>
        <v>#VALUE!</v>
      </c>
      <c r="GG12" t="e">
        <f>AND(Gagnasett!D248,"AAAAAD981bw=")</f>
        <v>#VALUE!</v>
      </c>
      <c r="GH12" t="e">
        <f>AND(Gagnasett!E248,"AAAAAD981b0=")</f>
        <v>#VALUE!</v>
      </c>
      <c r="GI12" t="e">
        <f>AND(Gagnasett!F248,"AAAAAD981b4=")</f>
        <v>#VALUE!</v>
      </c>
      <c r="GJ12" t="e">
        <f>AND(Gagnasett!G248,"AAAAAD981b8=")</f>
        <v>#VALUE!</v>
      </c>
      <c r="GK12" t="e">
        <f>AND(Gagnasett!H248,"AAAAAD981cA=")</f>
        <v>#VALUE!</v>
      </c>
      <c r="GL12" t="e">
        <f>AND(Gagnasett!I248,"AAAAAD981cE=")</f>
        <v>#VALUE!</v>
      </c>
      <c r="GM12" t="e">
        <f>AND(Gagnasett!J248,"AAAAAD981cI=")</f>
        <v>#VALUE!</v>
      </c>
      <c r="GN12" t="e">
        <f>AND(Gagnasett!K248,"AAAAAD981cM=")</f>
        <v>#VALUE!</v>
      </c>
      <c r="GO12">
        <f>IF(Gagnasett!249:249,"AAAAAD981cQ=",0)</f>
        <v>0</v>
      </c>
      <c r="GP12" t="e">
        <f>AND(Gagnasett!A249,"AAAAAD981cU=")</f>
        <v>#VALUE!</v>
      </c>
      <c r="GQ12" t="e">
        <f>AND(Gagnasett!B249,"AAAAAD981cY=")</f>
        <v>#VALUE!</v>
      </c>
      <c r="GR12" t="e">
        <f>AND(Gagnasett!C249,"AAAAAD981cc=")</f>
        <v>#VALUE!</v>
      </c>
      <c r="GS12" t="e">
        <f>AND(Gagnasett!D249,"AAAAAD981cg=")</f>
        <v>#VALUE!</v>
      </c>
      <c r="GT12" t="e">
        <f>AND(Gagnasett!E249,"AAAAAD981ck=")</f>
        <v>#VALUE!</v>
      </c>
      <c r="GU12" t="e">
        <f>AND(Gagnasett!F249,"AAAAAD981co=")</f>
        <v>#VALUE!</v>
      </c>
      <c r="GV12" t="e">
        <f>AND(Gagnasett!G249,"AAAAAD981cs=")</f>
        <v>#VALUE!</v>
      </c>
      <c r="GW12" t="e">
        <f>AND(Gagnasett!H249,"AAAAAD981cw=")</f>
        <v>#VALUE!</v>
      </c>
      <c r="GX12" t="e">
        <f>AND(Gagnasett!I249,"AAAAAD981c0=")</f>
        <v>#VALUE!</v>
      </c>
      <c r="GY12" t="e">
        <f>AND(Gagnasett!J249,"AAAAAD981c4=")</f>
        <v>#VALUE!</v>
      </c>
      <c r="GZ12" t="e">
        <f>AND(Gagnasett!K249,"AAAAAD981c8=")</f>
        <v>#VALUE!</v>
      </c>
      <c r="HA12">
        <f>IF(Gagnasett!250:250,"AAAAAD981dA=",0)</f>
        <v>0</v>
      </c>
      <c r="HB12" t="e">
        <f>AND(Gagnasett!A250,"AAAAAD981dE=")</f>
        <v>#VALUE!</v>
      </c>
      <c r="HC12" t="e">
        <f>AND(Gagnasett!B250,"AAAAAD981dI=")</f>
        <v>#VALUE!</v>
      </c>
      <c r="HD12" t="e">
        <f>AND(Gagnasett!C250,"AAAAAD981dM=")</f>
        <v>#VALUE!</v>
      </c>
      <c r="HE12" t="e">
        <f>AND(Gagnasett!D250,"AAAAAD981dQ=")</f>
        <v>#VALUE!</v>
      </c>
      <c r="HF12" t="e">
        <f>AND(Gagnasett!E250,"AAAAAD981dU=")</f>
        <v>#VALUE!</v>
      </c>
      <c r="HG12" t="e">
        <f>AND(Gagnasett!F250,"AAAAAD981dY=")</f>
        <v>#VALUE!</v>
      </c>
      <c r="HH12" t="e">
        <f>AND(Gagnasett!G250,"AAAAAD981dc=")</f>
        <v>#VALUE!</v>
      </c>
      <c r="HI12" t="e">
        <f>AND(Gagnasett!H250,"AAAAAD981dg=")</f>
        <v>#VALUE!</v>
      </c>
      <c r="HJ12" t="e">
        <f>AND(Gagnasett!I250,"AAAAAD981dk=")</f>
        <v>#VALUE!</v>
      </c>
      <c r="HK12" t="e">
        <f>AND(Gagnasett!J250,"AAAAAD981do=")</f>
        <v>#VALUE!</v>
      </c>
      <c r="HL12" t="e">
        <f>AND(Gagnasett!K250,"AAAAAD981ds=")</f>
        <v>#VALUE!</v>
      </c>
      <c r="HM12">
        <f>IF(Gagnasett!251:251,"AAAAAD981dw=",0)</f>
        <v>0</v>
      </c>
      <c r="HN12" t="e">
        <f>AND(Gagnasett!A251,"AAAAAD981d0=")</f>
        <v>#VALUE!</v>
      </c>
      <c r="HO12" t="e">
        <f>AND(Gagnasett!B251,"AAAAAD981d4=")</f>
        <v>#VALUE!</v>
      </c>
      <c r="HP12" t="e">
        <f>AND(Gagnasett!C251,"AAAAAD981d8=")</f>
        <v>#VALUE!</v>
      </c>
      <c r="HQ12" t="e">
        <f>AND(Gagnasett!D251,"AAAAAD981eA=")</f>
        <v>#VALUE!</v>
      </c>
      <c r="HR12" t="e">
        <f>AND(Gagnasett!E251,"AAAAAD981eE=")</f>
        <v>#VALUE!</v>
      </c>
      <c r="HS12" t="e">
        <f>AND(Gagnasett!F251,"AAAAAD981eI=")</f>
        <v>#VALUE!</v>
      </c>
      <c r="HT12" t="e">
        <f>AND(Gagnasett!G251,"AAAAAD981eM=")</f>
        <v>#VALUE!</v>
      </c>
      <c r="HU12" t="e">
        <f>AND(Gagnasett!H251,"AAAAAD981eQ=")</f>
        <v>#VALUE!</v>
      </c>
      <c r="HV12" t="e">
        <f>AND(Gagnasett!I251,"AAAAAD981eU=")</f>
        <v>#VALUE!</v>
      </c>
      <c r="HW12" t="e">
        <f>AND(Gagnasett!J251,"AAAAAD981eY=")</f>
        <v>#VALUE!</v>
      </c>
      <c r="HX12" t="e">
        <f>AND(Gagnasett!K251,"AAAAAD981ec=")</f>
        <v>#VALUE!</v>
      </c>
      <c r="HY12">
        <f>IF(Gagnasett!252:252,"AAAAAD981eg=",0)</f>
        <v>0</v>
      </c>
      <c r="HZ12" t="e">
        <f>AND(Gagnasett!A252,"AAAAAD981ek=")</f>
        <v>#VALUE!</v>
      </c>
      <c r="IA12" t="e">
        <f>AND(Gagnasett!B252,"AAAAAD981eo=")</f>
        <v>#VALUE!</v>
      </c>
      <c r="IB12" t="e">
        <f>AND(Gagnasett!C252,"AAAAAD981es=")</f>
        <v>#VALUE!</v>
      </c>
      <c r="IC12" t="e">
        <f>AND(Gagnasett!D252,"AAAAAD981ew=")</f>
        <v>#VALUE!</v>
      </c>
      <c r="ID12" t="e">
        <f>AND(Gagnasett!E252,"AAAAAD981e0=")</f>
        <v>#VALUE!</v>
      </c>
      <c r="IE12" t="e">
        <f>AND(Gagnasett!F252,"AAAAAD981e4=")</f>
        <v>#VALUE!</v>
      </c>
      <c r="IF12" t="e">
        <f>AND(Gagnasett!G252,"AAAAAD981e8=")</f>
        <v>#VALUE!</v>
      </c>
      <c r="IG12" t="e">
        <f>AND(Gagnasett!H252,"AAAAAD981fA=")</f>
        <v>#VALUE!</v>
      </c>
      <c r="IH12" t="e">
        <f>AND(Gagnasett!I252,"AAAAAD981fE=")</f>
        <v>#VALUE!</v>
      </c>
      <c r="II12" t="e">
        <f>AND(Gagnasett!J252,"AAAAAD981fI=")</f>
        <v>#VALUE!</v>
      </c>
      <c r="IJ12" t="e">
        <f>AND(Gagnasett!K252,"AAAAAD981fM=")</f>
        <v>#VALUE!</v>
      </c>
      <c r="IK12">
        <f>IF(Gagnasett!253:253,"AAAAAD981fQ=",0)</f>
        <v>0</v>
      </c>
      <c r="IL12" t="e">
        <f>AND(Gagnasett!A253,"AAAAAD981fU=")</f>
        <v>#VALUE!</v>
      </c>
      <c r="IM12" t="e">
        <f>AND(Gagnasett!B253,"AAAAAD981fY=")</f>
        <v>#VALUE!</v>
      </c>
      <c r="IN12" t="e">
        <f>AND(Gagnasett!C253,"AAAAAD981fc=")</f>
        <v>#VALUE!</v>
      </c>
      <c r="IO12" t="e">
        <f>AND(Gagnasett!D253,"AAAAAD981fg=")</f>
        <v>#VALUE!</v>
      </c>
      <c r="IP12" t="e">
        <f>AND(Gagnasett!E253,"AAAAAD981fk=")</f>
        <v>#VALUE!</v>
      </c>
      <c r="IQ12" t="e">
        <f>AND(Gagnasett!F253,"AAAAAD981fo=")</f>
        <v>#VALUE!</v>
      </c>
      <c r="IR12" t="e">
        <f>AND(Gagnasett!G253,"AAAAAD981fs=")</f>
        <v>#VALUE!</v>
      </c>
      <c r="IS12" t="e">
        <f>AND(Gagnasett!H253,"AAAAAD981fw=")</f>
        <v>#VALUE!</v>
      </c>
      <c r="IT12" t="e">
        <f>AND(Gagnasett!I253,"AAAAAD981f0=")</f>
        <v>#VALUE!</v>
      </c>
      <c r="IU12" t="e">
        <f>AND(Gagnasett!J253,"AAAAAD981f4=")</f>
        <v>#VALUE!</v>
      </c>
      <c r="IV12" t="e">
        <f>AND(Gagnasett!K253,"AAAAAD981f8=")</f>
        <v>#VALUE!</v>
      </c>
    </row>
    <row r="13" spans="1:256" x14ac:dyDescent="0.3">
      <c r="A13" t="e">
        <f>IF(Gagnasett!254:254,"AAAAAH27eAA=",0)</f>
        <v>#VALUE!</v>
      </c>
      <c r="B13" t="e">
        <f>AND(Gagnasett!A254,"AAAAAH27eAE=")</f>
        <v>#VALUE!</v>
      </c>
      <c r="C13" t="e">
        <f>AND(Gagnasett!B254,"AAAAAH27eAI=")</f>
        <v>#VALUE!</v>
      </c>
      <c r="D13" t="e">
        <f>AND(Gagnasett!C254,"AAAAAH27eAM=")</f>
        <v>#VALUE!</v>
      </c>
      <c r="E13" t="e">
        <f>AND(Gagnasett!D254,"AAAAAH27eAQ=")</f>
        <v>#VALUE!</v>
      </c>
      <c r="F13" t="e">
        <f>AND(Gagnasett!E254,"AAAAAH27eAU=")</f>
        <v>#VALUE!</v>
      </c>
      <c r="G13" t="e">
        <f>AND(Gagnasett!F254,"AAAAAH27eAY=")</f>
        <v>#VALUE!</v>
      </c>
      <c r="H13" t="e">
        <f>AND(Gagnasett!G254,"AAAAAH27eAc=")</f>
        <v>#VALUE!</v>
      </c>
      <c r="I13" t="e">
        <f>AND(Gagnasett!H254,"AAAAAH27eAg=")</f>
        <v>#VALUE!</v>
      </c>
      <c r="J13" t="e">
        <f>AND(Gagnasett!I254,"AAAAAH27eAk=")</f>
        <v>#VALUE!</v>
      </c>
      <c r="K13" t="e">
        <f>AND(Gagnasett!J254,"AAAAAH27eAo=")</f>
        <v>#VALUE!</v>
      </c>
      <c r="L13" t="e">
        <f>AND(Gagnasett!K254,"AAAAAH27eAs=")</f>
        <v>#VALUE!</v>
      </c>
      <c r="M13">
        <f>IF(Gagnasett!255:255,"AAAAAH27eAw=",0)</f>
        <v>0</v>
      </c>
      <c r="N13" t="e">
        <f>AND(Gagnasett!A255,"AAAAAH27eA0=")</f>
        <v>#VALUE!</v>
      </c>
      <c r="O13" t="e">
        <f>AND(Gagnasett!B255,"AAAAAH27eA4=")</f>
        <v>#VALUE!</v>
      </c>
      <c r="P13" t="e">
        <f>AND(Gagnasett!C255,"AAAAAH27eA8=")</f>
        <v>#VALUE!</v>
      </c>
      <c r="Q13" t="e">
        <f>AND(Gagnasett!D255,"AAAAAH27eBA=")</f>
        <v>#VALUE!</v>
      </c>
      <c r="R13" t="e">
        <f>AND(Gagnasett!E255,"AAAAAH27eBE=")</f>
        <v>#VALUE!</v>
      </c>
      <c r="S13" t="e">
        <f>AND(Gagnasett!F255,"AAAAAH27eBI=")</f>
        <v>#VALUE!</v>
      </c>
      <c r="T13" t="e">
        <f>AND(Gagnasett!G255,"AAAAAH27eBM=")</f>
        <v>#VALUE!</v>
      </c>
      <c r="U13" t="e">
        <f>AND(Gagnasett!H255,"AAAAAH27eBQ=")</f>
        <v>#VALUE!</v>
      </c>
      <c r="V13" t="e">
        <f>AND(Gagnasett!I255,"AAAAAH27eBU=")</f>
        <v>#VALUE!</v>
      </c>
      <c r="W13" t="e">
        <f>AND(Gagnasett!J255,"AAAAAH27eBY=")</f>
        <v>#VALUE!</v>
      </c>
      <c r="X13" t="e">
        <f>AND(Gagnasett!K255,"AAAAAH27eBc=")</f>
        <v>#VALUE!</v>
      </c>
      <c r="Y13">
        <f>IF(Gagnasett!256:256,"AAAAAH27eBg=",0)</f>
        <v>0</v>
      </c>
      <c r="Z13" t="e">
        <f>AND(Gagnasett!A256,"AAAAAH27eBk=")</f>
        <v>#VALUE!</v>
      </c>
      <c r="AA13" t="e">
        <f>AND(Gagnasett!B256,"AAAAAH27eBo=")</f>
        <v>#VALUE!</v>
      </c>
      <c r="AB13" t="e">
        <f>AND(Gagnasett!C256,"AAAAAH27eBs=")</f>
        <v>#VALUE!</v>
      </c>
      <c r="AC13" t="e">
        <f>AND(Gagnasett!D256,"AAAAAH27eBw=")</f>
        <v>#VALUE!</v>
      </c>
      <c r="AD13" t="e">
        <f>AND(Gagnasett!E256,"AAAAAH27eB0=")</f>
        <v>#VALUE!</v>
      </c>
      <c r="AE13" t="e">
        <f>AND(Gagnasett!F256,"AAAAAH27eB4=")</f>
        <v>#VALUE!</v>
      </c>
      <c r="AF13" t="e">
        <f>AND(Gagnasett!G256,"AAAAAH27eB8=")</f>
        <v>#VALUE!</v>
      </c>
      <c r="AG13" t="e">
        <f>AND(Gagnasett!H256,"AAAAAH27eCA=")</f>
        <v>#VALUE!</v>
      </c>
      <c r="AH13" t="e">
        <f>AND(Gagnasett!I256,"AAAAAH27eCE=")</f>
        <v>#VALUE!</v>
      </c>
      <c r="AI13" t="e">
        <f>AND(Gagnasett!J256,"AAAAAH27eCI=")</f>
        <v>#VALUE!</v>
      </c>
      <c r="AJ13" t="e">
        <f>AND(Gagnasett!K256,"AAAAAH27eCM=")</f>
        <v>#VALUE!</v>
      </c>
      <c r="AK13">
        <f>IF(Gagnasett!257:257,"AAAAAH27eCQ=",0)</f>
        <v>0</v>
      </c>
      <c r="AL13" t="e">
        <f>AND(Gagnasett!A257,"AAAAAH27eCU=")</f>
        <v>#VALUE!</v>
      </c>
      <c r="AM13" t="e">
        <f>AND(Gagnasett!B257,"AAAAAH27eCY=")</f>
        <v>#VALUE!</v>
      </c>
      <c r="AN13" t="e">
        <f>AND(Gagnasett!C257,"AAAAAH27eCc=")</f>
        <v>#VALUE!</v>
      </c>
      <c r="AO13" t="e">
        <f>AND(Gagnasett!D257,"AAAAAH27eCg=")</f>
        <v>#VALUE!</v>
      </c>
      <c r="AP13" t="e">
        <f>AND(Gagnasett!E257,"AAAAAH27eCk=")</f>
        <v>#VALUE!</v>
      </c>
      <c r="AQ13" t="e">
        <f>AND(Gagnasett!F257,"AAAAAH27eCo=")</f>
        <v>#VALUE!</v>
      </c>
      <c r="AR13" t="e">
        <f>AND(Gagnasett!G257,"AAAAAH27eCs=")</f>
        <v>#VALUE!</v>
      </c>
      <c r="AS13" t="e">
        <f>AND(Gagnasett!H257,"AAAAAH27eCw=")</f>
        <v>#VALUE!</v>
      </c>
      <c r="AT13" t="e">
        <f>AND(Gagnasett!I257,"AAAAAH27eC0=")</f>
        <v>#VALUE!</v>
      </c>
      <c r="AU13" t="e">
        <f>AND(Gagnasett!J257,"AAAAAH27eC4=")</f>
        <v>#VALUE!</v>
      </c>
      <c r="AV13" t="e">
        <f>AND(Gagnasett!K257,"AAAAAH27eC8=")</f>
        <v>#VALUE!</v>
      </c>
      <c r="AW13">
        <f>IF(Gagnasett!258:258,"AAAAAH27eDA=",0)</f>
        <v>0</v>
      </c>
      <c r="AX13" t="e">
        <f>AND(Gagnasett!A258,"AAAAAH27eDE=")</f>
        <v>#VALUE!</v>
      </c>
      <c r="AY13" t="e">
        <f>AND(Gagnasett!B258,"AAAAAH27eDI=")</f>
        <v>#VALUE!</v>
      </c>
      <c r="AZ13" t="e">
        <f>AND(Gagnasett!C258,"AAAAAH27eDM=")</f>
        <v>#VALUE!</v>
      </c>
      <c r="BA13" t="e">
        <f>AND(Gagnasett!D258,"AAAAAH27eDQ=")</f>
        <v>#VALUE!</v>
      </c>
      <c r="BB13" t="e">
        <f>AND(Gagnasett!E258,"AAAAAH27eDU=")</f>
        <v>#VALUE!</v>
      </c>
      <c r="BC13" t="e">
        <f>AND(Gagnasett!F258,"AAAAAH27eDY=")</f>
        <v>#VALUE!</v>
      </c>
      <c r="BD13" t="e">
        <f>AND(Gagnasett!G258,"AAAAAH27eDc=")</f>
        <v>#VALUE!</v>
      </c>
      <c r="BE13" t="e">
        <f>AND(Gagnasett!H258,"AAAAAH27eDg=")</f>
        <v>#VALUE!</v>
      </c>
      <c r="BF13" t="e">
        <f>AND(Gagnasett!I258,"AAAAAH27eDk=")</f>
        <v>#VALUE!</v>
      </c>
      <c r="BG13" t="e">
        <f>AND(Gagnasett!J258,"AAAAAH27eDo=")</f>
        <v>#VALUE!</v>
      </c>
      <c r="BH13" t="e">
        <f>AND(Gagnasett!K258,"AAAAAH27eDs=")</f>
        <v>#VALUE!</v>
      </c>
      <c r="BI13">
        <f>IF(Gagnasett!259:259,"AAAAAH27eDw=",0)</f>
        <v>0</v>
      </c>
      <c r="BJ13" t="e">
        <f>AND(Gagnasett!A259,"AAAAAH27eD0=")</f>
        <v>#VALUE!</v>
      </c>
      <c r="BK13" t="e">
        <f>AND(Gagnasett!B259,"AAAAAH27eD4=")</f>
        <v>#VALUE!</v>
      </c>
      <c r="BL13" t="e">
        <f>AND(Gagnasett!C259,"AAAAAH27eD8=")</f>
        <v>#VALUE!</v>
      </c>
      <c r="BM13" t="e">
        <f>AND(Gagnasett!D259,"AAAAAH27eEA=")</f>
        <v>#VALUE!</v>
      </c>
      <c r="BN13" t="e">
        <f>AND(Gagnasett!E259,"AAAAAH27eEE=")</f>
        <v>#VALUE!</v>
      </c>
      <c r="BO13" t="e">
        <f>AND(Gagnasett!F259,"AAAAAH27eEI=")</f>
        <v>#VALUE!</v>
      </c>
      <c r="BP13" t="e">
        <f>AND(Gagnasett!G259,"AAAAAH27eEM=")</f>
        <v>#VALUE!</v>
      </c>
      <c r="BQ13" t="e">
        <f>AND(Gagnasett!H259,"AAAAAH27eEQ=")</f>
        <v>#VALUE!</v>
      </c>
      <c r="BR13" t="e">
        <f>AND(Gagnasett!I259,"AAAAAH27eEU=")</f>
        <v>#VALUE!</v>
      </c>
      <c r="BS13" t="e">
        <f>AND(Gagnasett!J259,"AAAAAH27eEY=")</f>
        <v>#VALUE!</v>
      </c>
      <c r="BT13" t="e">
        <f>AND(Gagnasett!K259,"AAAAAH27eEc=")</f>
        <v>#VALUE!</v>
      </c>
      <c r="BU13">
        <f>IF(Gagnasett!260:260,"AAAAAH27eEg=",0)</f>
        <v>0</v>
      </c>
      <c r="BV13" t="e">
        <f>AND(Gagnasett!A260,"AAAAAH27eEk=")</f>
        <v>#VALUE!</v>
      </c>
      <c r="BW13" t="e">
        <f>AND(Gagnasett!B260,"AAAAAH27eEo=")</f>
        <v>#VALUE!</v>
      </c>
      <c r="BX13" t="e">
        <f>AND(Gagnasett!C260,"AAAAAH27eEs=")</f>
        <v>#VALUE!</v>
      </c>
      <c r="BY13" t="e">
        <f>AND(Gagnasett!D260,"AAAAAH27eEw=")</f>
        <v>#VALUE!</v>
      </c>
      <c r="BZ13" t="e">
        <f>AND(Gagnasett!E260,"AAAAAH27eE0=")</f>
        <v>#VALUE!</v>
      </c>
      <c r="CA13" t="e">
        <f>AND(Gagnasett!F260,"AAAAAH27eE4=")</f>
        <v>#VALUE!</v>
      </c>
      <c r="CB13" t="e">
        <f>AND(Gagnasett!G260,"AAAAAH27eE8=")</f>
        <v>#VALUE!</v>
      </c>
      <c r="CC13" t="e">
        <f>AND(Gagnasett!H260,"AAAAAH27eFA=")</f>
        <v>#VALUE!</v>
      </c>
      <c r="CD13" t="e">
        <f>AND(Gagnasett!I260,"AAAAAH27eFE=")</f>
        <v>#VALUE!</v>
      </c>
      <c r="CE13" t="e">
        <f>AND(Gagnasett!J260,"AAAAAH27eFI=")</f>
        <v>#VALUE!</v>
      </c>
      <c r="CF13" t="e">
        <f>AND(Gagnasett!K260,"AAAAAH27eFM=")</f>
        <v>#VALUE!</v>
      </c>
      <c r="CG13">
        <f>IF(Gagnasett!261:261,"AAAAAH27eFQ=",0)</f>
        <v>0</v>
      </c>
      <c r="CH13" t="e">
        <f>AND(Gagnasett!A261,"AAAAAH27eFU=")</f>
        <v>#VALUE!</v>
      </c>
      <c r="CI13" t="e">
        <f>AND(Gagnasett!B261,"AAAAAH27eFY=")</f>
        <v>#VALUE!</v>
      </c>
      <c r="CJ13" t="e">
        <f>AND(Gagnasett!C261,"AAAAAH27eFc=")</f>
        <v>#VALUE!</v>
      </c>
      <c r="CK13" t="e">
        <f>AND(Gagnasett!D261,"AAAAAH27eFg=")</f>
        <v>#VALUE!</v>
      </c>
      <c r="CL13" t="e">
        <f>AND(Gagnasett!E261,"AAAAAH27eFk=")</f>
        <v>#VALUE!</v>
      </c>
      <c r="CM13" t="e">
        <f>AND(Gagnasett!F261,"AAAAAH27eFo=")</f>
        <v>#VALUE!</v>
      </c>
      <c r="CN13" t="e">
        <f>AND(Gagnasett!G261,"AAAAAH27eFs=")</f>
        <v>#VALUE!</v>
      </c>
      <c r="CO13" t="e">
        <f>AND(Gagnasett!H261,"AAAAAH27eFw=")</f>
        <v>#VALUE!</v>
      </c>
      <c r="CP13" t="e">
        <f>AND(Gagnasett!I261,"AAAAAH27eF0=")</f>
        <v>#VALUE!</v>
      </c>
      <c r="CQ13" t="e">
        <f>AND(Gagnasett!J261,"AAAAAH27eF4=")</f>
        <v>#VALUE!</v>
      </c>
      <c r="CR13" t="e">
        <f>AND(Gagnasett!K261,"AAAAAH27eF8=")</f>
        <v>#VALUE!</v>
      </c>
      <c r="CS13">
        <f>IF(Gagnasett!262:262,"AAAAAH27eGA=",0)</f>
        <v>0</v>
      </c>
      <c r="CT13" t="e">
        <f>AND(Gagnasett!A262,"AAAAAH27eGE=")</f>
        <v>#VALUE!</v>
      </c>
      <c r="CU13" t="e">
        <f>AND(Gagnasett!B262,"AAAAAH27eGI=")</f>
        <v>#VALUE!</v>
      </c>
      <c r="CV13" t="e">
        <f>AND(Gagnasett!C262,"AAAAAH27eGM=")</f>
        <v>#VALUE!</v>
      </c>
      <c r="CW13" t="e">
        <f>AND(Gagnasett!D262,"AAAAAH27eGQ=")</f>
        <v>#VALUE!</v>
      </c>
      <c r="CX13" t="e">
        <f>AND(Gagnasett!E262,"AAAAAH27eGU=")</f>
        <v>#VALUE!</v>
      </c>
      <c r="CY13" t="e">
        <f>AND(Gagnasett!F262,"AAAAAH27eGY=")</f>
        <v>#VALUE!</v>
      </c>
      <c r="CZ13" t="e">
        <f>AND(Gagnasett!G262,"AAAAAH27eGc=")</f>
        <v>#VALUE!</v>
      </c>
      <c r="DA13" t="e">
        <f>AND(Gagnasett!H262,"AAAAAH27eGg=")</f>
        <v>#VALUE!</v>
      </c>
      <c r="DB13" t="e">
        <f>AND(Gagnasett!I262,"AAAAAH27eGk=")</f>
        <v>#VALUE!</v>
      </c>
      <c r="DC13" t="e">
        <f>AND(Gagnasett!J262,"AAAAAH27eGo=")</f>
        <v>#VALUE!</v>
      </c>
      <c r="DD13" t="e">
        <f>AND(Gagnasett!K262,"AAAAAH27eGs=")</f>
        <v>#VALUE!</v>
      </c>
      <c r="DE13">
        <f>IF(Gagnasett!263:263,"AAAAAH27eGw=",0)</f>
        <v>0</v>
      </c>
      <c r="DF13" t="e">
        <f>AND(Gagnasett!A263,"AAAAAH27eG0=")</f>
        <v>#VALUE!</v>
      </c>
      <c r="DG13" t="e">
        <f>AND(Gagnasett!B263,"AAAAAH27eG4=")</f>
        <v>#VALUE!</v>
      </c>
      <c r="DH13" t="e">
        <f>AND(Gagnasett!C263,"AAAAAH27eG8=")</f>
        <v>#VALUE!</v>
      </c>
      <c r="DI13" t="e">
        <f>AND(Gagnasett!D263,"AAAAAH27eHA=")</f>
        <v>#VALUE!</v>
      </c>
      <c r="DJ13" t="e">
        <f>AND(Gagnasett!E263,"AAAAAH27eHE=")</f>
        <v>#VALUE!</v>
      </c>
      <c r="DK13" t="e">
        <f>AND(Gagnasett!F263,"AAAAAH27eHI=")</f>
        <v>#VALUE!</v>
      </c>
      <c r="DL13" t="e">
        <f>AND(Gagnasett!G263,"AAAAAH27eHM=")</f>
        <v>#VALUE!</v>
      </c>
      <c r="DM13" t="e">
        <f>AND(Gagnasett!H263,"AAAAAH27eHQ=")</f>
        <v>#VALUE!</v>
      </c>
      <c r="DN13" t="e">
        <f>AND(Gagnasett!I263,"AAAAAH27eHU=")</f>
        <v>#VALUE!</v>
      </c>
      <c r="DO13" t="e">
        <f>AND(Gagnasett!J263,"AAAAAH27eHY=")</f>
        <v>#VALUE!</v>
      </c>
      <c r="DP13" t="e">
        <f>AND(Gagnasett!K263,"AAAAAH27eHc=")</f>
        <v>#VALUE!</v>
      </c>
      <c r="DQ13">
        <f>IF(Gagnasett!264:264,"AAAAAH27eHg=",0)</f>
        <v>0</v>
      </c>
      <c r="DR13" t="e">
        <f>AND(Gagnasett!A264,"AAAAAH27eHk=")</f>
        <v>#VALUE!</v>
      </c>
      <c r="DS13" t="e">
        <f>AND(Gagnasett!B264,"AAAAAH27eHo=")</f>
        <v>#VALUE!</v>
      </c>
      <c r="DT13" t="e">
        <f>AND(Gagnasett!C264,"AAAAAH27eHs=")</f>
        <v>#VALUE!</v>
      </c>
      <c r="DU13" t="e">
        <f>AND(Gagnasett!D264,"AAAAAH27eHw=")</f>
        <v>#VALUE!</v>
      </c>
      <c r="DV13" t="e">
        <f>AND(Gagnasett!E264,"AAAAAH27eH0=")</f>
        <v>#VALUE!</v>
      </c>
      <c r="DW13" t="e">
        <f>AND(Gagnasett!F264,"AAAAAH27eH4=")</f>
        <v>#VALUE!</v>
      </c>
      <c r="DX13" t="e">
        <f>AND(Gagnasett!G264,"AAAAAH27eH8=")</f>
        <v>#VALUE!</v>
      </c>
      <c r="DY13" t="e">
        <f>AND(Gagnasett!H264,"AAAAAH27eIA=")</f>
        <v>#VALUE!</v>
      </c>
      <c r="DZ13" t="e">
        <f>AND(Gagnasett!I264,"AAAAAH27eIE=")</f>
        <v>#VALUE!</v>
      </c>
      <c r="EA13" t="e">
        <f>AND(Gagnasett!J264,"AAAAAH27eII=")</f>
        <v>#VALUE!</v>
      </c>
      <c r="EB13" t="e">
        <f>AND(Gagnasett!K264,"AAAAAH27eIM=")</f>
        <v>#VALUE!</v>
      </c>
      <c r="EC13">
        <f>IF(Gagnasett!265:265,"AAAAAH27eIQ=",0)</f>
        <v>0</v>
      </c>
      <c r="ED13" t="e">
        <f>AND(Gagnasett!A265,"AAAAAH27eIU=")</f>
        <v>#VALUE!</v>
      </c>
      <c r="EE13" t="e">
        <f>AND(Gagnasett!B265,"AAAAAH27eIY=")</f>
        <v>#VALUE!</v>
      </c>
      <c r="EF13" t="e">
        <f>AND(Gagnasett!C265,"AAAAAH27eIc=")</f>
        <v>#VALUE!</v>
      </c>
      <c r="EG13" t="e">
        <f>AND(Gagnasett!D265,"AAAAAH27eIg=")</f>
        <v>#VALUE!</v>
      </c>
      <c r="EH13" t="e">
        <f>AND(Gagnasett!E265,"AAAAAH27eIk=")</f>
        <v>#VALUE!</v>
      </c>
      <c r="EI13" t="e">
        <f>AND(Gagnasett!F265,"AAAAAH27eIo=")</f>
        <v>#VALUE!</v>
      </c>
      <c r="EJ13" t="e">
        <f>AND(Gagnasett!G265,"AAAAAH27eIs=")</f>
        <v>#VALUE!</v>
      </c>
      <c r="EK13" t="e">
        <f>AND(Gagnasett!H265,"AAAAAH27eIw=")</f>
        <v>#VALUE!</v>
      </c>
      <c r="EL13" t="e">
        <f>AND(Gagnasett!I265,"AAAAAH27eI0=")</f>
        <v>#VALUE!</v>
      </c>
      <c r="EM13" t="e">
        <f>AND(Gagnasett!J265,"AAAAAH27eI4=")</f>
        <v>#VALUE!</v>
      </c>
      <c r="EN13" t="e">
        <f>AND(Gagnasett!K265,"AAAAAH27eI8=")</f>
        <v>#VALUE!</v>
      </c>
      <c r="EO13">
        <f>IF(Gagnasett!266:266,"AAAAAH27eJA=",0)</f>
        <v>0</v>
      </c>
      <c r="EP13" t="e">
        <f>AND(Gagnasett!A266,"AAAAAH27eJE=")</f>
        <v>#VALUE!</v>
      </c>
      <c r="EQ13" t="e">
        <f>AND(Gagnasett!B266,"AAAAAH27eJI=")</f>
        <v>#VALUE!</v>
      </c>
      <c r="ER13" t="e">
        <f>AND(Gagnasett!C266,"AAAAAH27eJM=")</f>
        <v>#VALUE!</v>
      </c>
      <c r="ES13" t="e">
        <f>AND(Gagnasett!D266,"AAAAAH27eJQ=")</f>
        <v>#VALUE!</v>
      </c>
      <c r="ET13" t="e">
        <f>AND(Gagnasett!E266,"AAAAAH27eJU=")</f>
        <v>#VALUE!</v>
      </c>
      <c r="EU13" t="e">
        <f>AND(Gagnasett!F266,"AAAAAH27eJY=")</f>
        <v>#VALUE!</v>
      </c>
      <c r="EV13" t="e">
        <f>AND(Gagnasett!G266,"AAAAAH27eJc=")</f>
        <v>#VALUE!</v>
      </c>
      <c r="EW13" t="e">
        <f>AND(Gagnasett!H266,"AAAAAH27eJg=")</f>
        <v>#VALUE!</v>
      </c>
      <c r="EX13" t="e">
        <f>AND(Gagnasett!I266,"AAAAAH27eJk=")</f>
        <v>#VALUE!</v>
      </c>
      <c r="EY13" t="e">
        <f>AND(Gagnasett!J266,"AAAAAH27eJo=")</f>
        <v>#VALUE!</v>
      </c>
      <c r="EZ13" t="e">
        <f>AND(Gagnasett!K266,"AAAAAH27eJs=")</f>
        <v>#VALUE!</v>
      </c>
      <c r="FA13">
        <f>IF(Gagnasett!267:267,"AAAAAH27eJw=",0)</f>
        <v>0</v>
      </c>
      <c r="FB13" t="e">
        <f>AND(Gagnasett!A267,"AAAAAH27eJ0=")</f>
        <v>#VALUE!</v>
      </c>
      <c r="FC13" t="e">
        <f>AND(Gagnasett!B267,"AAAAAH27eJ4=")</f>
        <v>#VALUE!</v>
      </c>
      <c r="FD13" t="e">
        <f>AND(Gagnasett!C267,"AAAAAH27eJ8=")</f>
        <v>#VALUE!</v>
      </c>
      <c r="FE13" t="e">
        <f>AND(Gagnasett!D267,"AAAAAH27eKA=")</f>
        <v>#VALUE!</v>
      </c>
      <c r="FF13" t="e">
        <f>AND(Gagnasett!E267,"AAAAAH27eKE=")</f>
        <v>#VALUE!</v>
      </c>
      <c r="FG13" t="e">
        <f>AND(Gagnasett!F267,"AAAAAH27eKI=")</f>
        <v>#VALUE!</v>
      </c>
      <c r="FH13" t="e">
        <f>AND(Gagnasett!G267,"AAAAAH27eKM=")</f>
        <v>#VALUE!</v>
      </c>
      <c r="FI13" t="e">
        <f>AND(Gagnasett!H267,"AAAAAH27eKQ=")</f>
        <v>#VALUE!</v>
      </c>
      <c r="FJ13" t="e">
        <f>AND(Gagnasett!I267,"AAAAAH27eKU=")</f>
        <v>#VALUE!</v>
      </c>
      <c r="FK13">
        <f>IF(Gagnasett!268:268,"AAAAAH27eKY=",0)</f>
        <v>0</v>
      </c>
      <c r="FL13" t="e">
        <f>AND(Gagnasett!A268,"AAAAAH27eKc=")</f>
        <v>#VALUE!</v>
      </c>
      <c r="FM13" t="e">
        <f>AND(Gagnasett!B268,"AAAAAH27eKg=")</f>
        <v>#VALUE!</v>
      </c>
      <c r="FN13" t="e">
        <f>AND(Gagnasett!C268,"AAAAAH27eKk=")</f>
        <v>#VALUE!</v>
      </c>
      <c r="FO13" t="e">
        <f>AND(Gagnasett!D268,"AAAAAH27eKo=")</f>
        <v>#VALUE!</v>
      </c>
      <c r="FP13" t="e">
        <f>AND(Gagnasett!E268,"AAAAAH27eKs=")</f>
        <v>#VALUE!</v>
      </c>
      <c r="FQ13" t="e">
        <f>AND(Gagnasett!F268,"AAAAAH27eKw=")</f>
        <v>#VALUE!</v>
      </c>
      <c r="FR13" t="e">
        <f>AND(Gagnasett!G268,"AAAAAH27eK0=")</f>
        <v>#VALUE!</v>
      </c>
      <c r="FS13" t="e">
        <f>AND(Gagnasett!H268,"AAAAAH27eK4=")</f>
        <v>#VALUE!</v>
      </c>
      <c r="FT13" t="e">
        <f>AND(Gagnasett!I268,"AAAAAH27eK8=")</f>
        <v>#VALUE!</v>
      </c>
      <c r="FU13" t="e">
        <f>IF(Gagnasett!A:A,"AAAAAH27eLA=",0)</f>
        <v>#VALUE!</v>
      </c>
      <c r="FV13" t="e">
        <f>IF(Gagnasett!B:B,"AAAAAH27eLE=",0)</f>
        <v>#VALUE!</v>
      </c>
      <c r="FW13" t="e">
        <f>IF(Gagnasett!C:C,"AAAAAH27eLI=",0)</f>
        <v>#VALUE!</v>
      </c>
      <c r="FX13" t="e">
        <f>IF(Gagnasett!D:D,"AAAAAH27eLM=",0)</f>
        <v>#VALUE!</v>
      </c>
      <c r="FY13" t="e">
        <f>IF(Gagnasett!E:E,"AAAAAH27eLQ=",0)</f>
        <v>#VALUE!</v>
      </c>
      <c r="FZ13" t="e">
        <f>IF(Gagnasett!F:F,"AAAAAH27eLU=",0)</f>
        <v>#VALUE!</v>
      </c>
      <c r="GA13" t="e">
        <f>IF(Gagnasett!G:G,"AAAAAH27eLY=",0)</f>
        <v>#VALUE!</v>
      </c>
      <c r="GB13" t="e">
        <f>IF(Gagnasett!H:H,"AAAAAH27eLc=",0)</f>
        <v>#VALUE!</v>
      </c>
      <c r="GC13" t="e">
        <f>IF(Gagnasett!I:I,"AAAAAH27eLg=",0)</f>
        <v>#VALUE!</v>
      </c>
      <c r="GD13" t="e">
        <f>IF(Gagnasett!J:J,"AAAAAH27eLk=",0)</f>
        <v>#VALUE!</v>
      </c>
      <c r="GE13" t="e">
        <f>IF(Gagnasett!K:K,"AAAAAH27eLo=",0)</f>
        <v>#VALUE!</v>
      </c>
      <c r="GF13" t="e">
        <f>IF(#REF!,"AAAAAH27eLs=",0)</f>
        <v>#REF!</v>
      </c>
      <c r="GG13" t="e">
        <f>AND(#REF!,"AAAAAH27eLw=")</f>
        <v>#REF!</v>
      </c>
      <c r="GH13" t="e">
        <f>AND(#REF!,"AAAAAH27eL0=")</f>
        <v>#REF!</v>
      </c>
      <c r="GI13" t="e">
        <f>IF(#REF!,"AAAAAH27eL4=",0)</f>
        <v>#REF!</v>
      </c>
      <c r="GJ13" t="e">
        <f>AND(#REF!,"AAAAAH27eL8=")</f>
        <v>#REF!</v>
      </c>
      <c r="GK13" t="e">
        <f>AND(#REF!,"AAAAAH27eMA=")</f>
        <v>#REF!</v>
      </c>
      <c r="GL13" t="e">
        <f>IF(#REF!,"AAAAAH27eME=",0)</f>
        <v>#REF!</v>
      </c>
      <c r="GM13" t="e">
        <f>AND(#REF!,"AAAAAH27eMI=")</f>
        <v>#REF!</v>
      </c>
      <c r="GN13" t="e">
        <f>AND(#REF!,"AAAAAH27eMM=")</f>
        <v>#REF!</v>
      </c>
      <c r="GO13" t="e">
        <f>IF(#REF!,"AAAAAH27eMQ=",0)</f>
        <v>#REF!</v>
      </c>
      <c r="GP13" t="e">
        <f>AND(#REF!,"AAAAAH27eMU=")</f>
        <v>#REF!</v>
      </c>
      <c r="GQ13" t="e">
        <f>AND(#REF!,"AAAAAH27eMY=")</f>
        <v>#REF!</v>
      </c>
      <c r="GR13" t="e">
        <f>IF(#REF!,"AAAAAH27eMc=",0)</f>
        <v>#REF!</v>
      </c>
      <c r="GS13" t="e">
        <f>AND(#REF!,"AAAAAH27eMg=")</f>
        <v>#REF!</v>
      </c>
      <c r="GT13" t="e">
        <f>AND(#REF!,"AAAAAH27eMk=")</f>
        <v>#REF!</v>
      </c>
      <c r="GU13" t="e">
        <f>IF(#REF!,"AAAAAH27eMo=",0)</f>
        <v>#REF!</v>
      </c>
      <c r="GV13" t="e">
        <f>AND(#REF!,"AAAAAH27eMs=")</f>
        <v>#REF!</v>
      </c>
      <c r="GW13" t="e">
        <f>AND(#REF!,"AAAAAH27eMw=")</f>
        <v>#REF!</v>
      </c>
      <c r="GX13" t="e">
        <f>IF(#REF!,"AAAAAH27eM0=",0)</f>
        <v>#REF!</v>
      </c>
      <c r="GY13" t="e">
        <f>AND(#REF!,"AAAAAH27eM4=")</f>
        <v>#REF!</v>
      </c>
      <c r="GZ13" t="e">
        <f>AND(#REF!,"AAAAAH27eM8=")</f>
        <v>#REF!</v>
      </c>
      <c r="HA13" t="e">
        <f>IF(#REF!,"AAAAAH27eNA=",0)</f>
        <v>#REF!</v>
      </c>
      <c r="HB13" t="e">
        <f>AND(#REF!,"AAAAAH27eNE=")</f>
        <v>#REF!</v>
      </c>
      <c r="HC13" t="e">
        <f>AND(#REF!,"AAAAAH27eNI=")</f>
        <v>#REF!</v>
      </c>
      <c r="HD13" t="e">
        <f>IF(#REF!,"AAAAAH27eNM=",0)</f>
        <v>#REF!</v>
      </c>
      <c r="HE13" t="e">
        <f>AND(#REF!,"AAAAAH27eNQ=")</f>
        <v>#REF!</v>
      </c>
      <c r="HF13" t="e">
        <f>AND(#REF!,"AAAAAH27eNU=")</f>
        <v>#REF!</v>
      </c>
      <c r="HG13" t="e">
        <f>IF(#REF!,"AAAAAH27eNY=",0)</f>
        <v>#REF!</v>
      </c>
      <c r="HH13" t="e">
        <f>AND(#REF!,"AAAAAH27eNc=")</f>
        <v>#REF!</v>
      </c>
      <c r="HI13" t="e">
        <f>AND(#REF!,"AAAAAH27eNg=")</f>
        <v>#REF!</v>
      </c>
      <c r="HJ13" t="e">
        <f>IF(#REF!,"AAAAAH27eNk=",0)</f>
        <v>#REF!</v>
      </c>
      <c r="HK13" t="e">
        <f>AND(#REF!,"AAAAAH27eNo=")</f>
        <v>#REF!</v>
      </c>
      <c r="HL13" t="e">
        <f>AND(#REF!,"AAAAAH27eNs=")</f>
        <v>#REF!</v>
      </c>
      <c r="HM13" t="e">
        <f>IF(#REF!,"AAAAAH27eNw=",0)</f>
        <v>#REF!</v>
      </c>
      <c r="HN13" t="e">
        <f>AND(#REF!,"AAAAAH27eN0=")</f>
        <v>#REF!</v>
      </c>
      <c r="HO13" t="e">
        <f>AND(#REF!,"AAAAAH27eN4=")</f>
        <v>#REF!</v>
      </c>
      <c r="HP13" t="e">
        <f>IF(#REF!,"AAAAAH27eN8=",0)</f>
        <v>#REF!</v>
      </c>
      <c r="HQ13" t="e">
        <f>AND(#REF!,"AAAAAH27eOA=")</f>
        <v>#REF!</v>
      </c>
      <c r="HR13" t="e">
        <f>AND(#REF!,"AAAAAH27eOE=")</f>
        <v>#REF!</v>
      </c>
      <c r="HS13" t="e">
        <f>IF(#REF!,"AAAAAH27eOI=",0)</f>
        <v>#REF!</v>
      </c>
      <c r="HT13" t="e">
        <f>AND(#REF!,"AAAAAH27eOM=")</f>
        <v>#REF!</v>
      </c>
      <c r="HU13" t="e">
        <f>AND(#REF!,"AAAAAH27eOQ=")</f>
        <v>#REF!</v>
      </c>
      <c r="HV13" t="e">
        <f>IF(#REF!,"AAAAAH27eOU=",0)</f>
        <v>#REF!</v>
      </c>
      <c r="HW13" t="e">
        <f>AND(#REF!,"AAAAAH27eOY=")</f>
        <v>#REF!</v>
      </c>
      <c r="HX13" t="e">
        <f>AND(#REF!,"AAAAAH27eOc=")</f>
        <v>#REF!</v>
      </c>
      <c r="HY13" t="e">
        <f>IF(#REF!,"AAAAAH27eOg=",0)</f>
        <v>#REF!</v>
      </c>
      <c r="HZ13" t="e">
        <f>AND(#REF!,"AAAAAH27eOk=")</f>
        <v>#REF!</v>
      </c>
      <c r="IA13" t="e">
        <f>AND(#REF!,"AAAAAH27eOo=")</f>
        <v>#REF!</v>
      </c>
      <c r="IB13" t="e">
        <f>IF(#REF!,"AAAAAH27eOs=",0)</f>
        <v>#REF!</v>
      </c>
      <c r="IC13" t="e">
        <f>AND(#REF!,"AAAAAH27eOw=")</f>
        <v>#REF!</v>
      </c>
      <c r="ID13" t="e">
        <f>AND(#REF!,"AAAAAH27eO0=")</f>
        <v>#REF!</v>
      </c>
      <c r="IE13" t="e">
        <f>IF(#REF!,"AAAAAH27eO4=",0)</f>
        <v>#REF!</v>
      </c>
      <c r="IF13" t="e">
        <f>AND(#REF!,"AAAAAH27eO8=")</f>
        <v>#REF!</v>
      </c>
      <c r="IG13" t="e">
        <f>AND(#REF!,"AAAAAH27ePA=")</f>
        <v>#REF!</v>
      </c>
      <c r="IH13" t="e">
        <f>IF(#REF!,"AAAAAH27ePE=",0)</f>
        <v>#REF!</v>
      </c>
      <c r="II13" t="e">
        <f>AND(#REF!,"AAAAAH27ePI=")</f>
        <v>#REF!</v>
      </c>
      <c r="IJ13" t="e">
        <f>AND(#REF!,"AAAAAH27ePM=")</f>
        <v>#REF!</v>
      </c>
      <c r="IK13" t="e">
        <f>IF(#REF!,"AAAAAH27ePQ=",0)</f>
        <v>#REF!</v>
      </c>
      <c r="IL13" t="e">
        <f>AND(#REF!,"AAAAAH27ePU=")</f>
        <v>#REF!</v>
      </c>
      <c r="IM13" t="e">
        <f>AND(#REF!,"AAAAAH27ePY=")</f>
        <v>#REF!</v>
      </c>
      <c r="IN13" t="e">
        <f>IF(#REF!,"AAAAAH27ePc=",0)</f>
        <v>#REF!</v>
      </c>
      <c r="IO13" t="e">
        <f>AND(#REF!,"AAAAAH27ePg=")</f>
        <v>#REF!</v>
      </c>
      <c r="IP13" t="e">
        <f>AND(#REF!,"AAAAAH27ePk=")</f>
        <v>#REF!</v>
      </c>
      <c r="IQ13" t="e">
        <f>IF(#REF!,"AAAAAH27ePo=",0)</f>
        <v>#REF!</v>
      </c>
      <c r="IR13" t="e">
        <f>AND(#REF!,"AAAAAH27ePs=")</f>
        <v>#REF!</v>
      </c>
      <c r="IS13" t="e">
        <f>AND(#REF!,"AAAAAH27ePw=")</f>
        <v>#REF!</v>
      </c>
      <c r="IT13" t="e">
        <f>IF(#REF!,"AAAAAH27eP0=",0)</f>
        <v>#REF!</v>
      </c>
      <c r="IU13" t="e">
        <f>AND(#REF!,"AAAAAH27eP4=")</f>
        <v>#REF!</v>
      </c>
      <c r="IV13" t="e">
        <f>AND(#REF!,"AAAAAH27eP8=")</f>
        <v>#REF!</v>
      </c>
    </row>
    <row r="14" spans="1:256" x14ac:dyDescent="0.3">
      <c r="A14" t="e">
        <f>IF(#REF!,"AAAAAHq/4wA=",0)</f>
        <v>#REF!</v>
      </c>
      <c r="B14" t="e">
        <f>AND(#REF!,"AAAAAHq/4wE=")</f>
        <v>#REF!</v>
      </c>
      <c r="C14" t="e">
        <f>AND(#REF!,"AAAAAHq/4wI=")</f>
        <v>#REF!</v>
      </c>
      <c r="D14" t="e">
        <f>IF(#REF!,"AAAAAHq/4wM=",0)</f>
        <v>#REF!</v>
      </c>
      <c r="E14" t="e">
        <f>AND(#REF!,"AAAAAHq/4wQ=")</f>
        <v>#REF!</v>
      </c>
      <c r="F14" t="e">
        <f>AND(#REF!,"AAAAAHq/4wU=")</f>
        <v>#REF!</v>
      </c>
      <c r="G14" t="e">
        <f>IF(#REF!,"AAAAAHq/4wY=",0)</f>
        <v>#REF!</v>
      </c>
      <c r="H14" t="e">
        <f>AND(#REF!,"AAAAAHq/4wc=")</f>
        <v>#REF!</v>
      </c>
      <c r="I14" t="e">
        <f>AND(#REF!,"AAAAAHq/4wg=")</f>
        <v>#REF!</v>
      </c>
      <c r="J14" t="e">
        <f>IF(#REF!,"AAAAAHq/4wk=",0)</f>
        <v>#REF!</v>
      </c>
      <c r="K14" t="e">
        <f>AND(#REF!,"AAAAAHq/4wo=")</f>
        <v>#REF!</v>
      </c>
      <c r="L14" t="e">
        <f>AND(#REF!,"AAAAAHq/4ws=")</f>
        <v>#REF!</v>
      </c>
      <c r="M14" t="e">
        <f>IF(#REF!,"AAAAAHq/4ww=",0)</f>
        <v>#REF!</v>
      </c>
      <c r="N14" t="e">
        <f>AND(#REF!,"AAAAAHq/4w0=")</f>
        <v>#REF!</v>
      </c>
      <c r="O14" t="e">
        <f>AND(#REF!,"AAAAAHq/4w4=")</f>
        <v>#REF!</v>
      </c>
      <c r="P14" t="e">
        <f>IF(#REF!,"AAAAAHq/4w8=",0)</f>
        <v>#REF!</v>
      </c>
      <c r="Q14" t="e">
        <f>AND(#REF!,"AAAAAHq/4xA=")</f>
        <v>#REF!</v>
      </c>
      <c r="R14" t="e">
        <f>AND(#REF!,"AAAAAHq/4xE=")</f>
        <v>#REF!</v>
      </c>
      <c r="S14" t="e">
        <f>IF(#REF!,"AAAAAHq/4xI=",0)</f>
        <v>#REF!</v>
      </c>
      <c r="T14" t="e">
        <f>AND(#REF!,"AAAAAHq/4xM=")</f>
        <v>#REF!</v>
      </c>
      <c r="U14" t="e">
        <f>AND(#REF!,"AAAAAHq/4xQ=")</f>
        <v>#REF!</v>
      </c>
      <c r="V14" t="e">
        <f>IF(#REF!,"AAAAAHq/4xU=",0)</f>
        <v>#REF!</v>
      </c>
      <c r="W14" t="e">
        <f>AND(#REF!,"AAAAAHq/4xY=")</f>
        <v>#REF!</v>
      </c>
      <c r="X14" t="e">
        <f>AND(#REF!,"AAAAAHq/4xc=")</f>
        <v>#REF!</v>
      </c>
      <c r="Y14" t="e">
        <f>IF(#REF!,"AAAAAHq/4xg=",0)</f>
        <v>#REF!</v>
      </c>
      <c r="Z14" t="e">
        <f>AND(#REF!,"AAAAAHq/4xk=")</f>
        <v>#REF!</v>
      </c>
      <c r="AA14" t="e">
        <f>AND(#REF!,"AAAAAHq/4xo=")</f>
        <v>#REF!</v>
      </c>
      <c r="AB14" t="e">
        <f>IF(#REF!,"AAAAAHq/4xs=",0)</f>
        <v>#REF!</v>
      </c>
      <c r="AC14" t="e">
        <f>AND(#REF!,"AAAAAHq/4xw=")</f>
        <v>#REF!</v>
      </c>
      <c r="AD14" t="e">
        <f>AND(#REF!,"AAAAAHq/4x0=")</f>
        <v>#REF!</v>
      </c>
      <c r="AE14" t="e">
        <f>IF(#REF!,"AAAAAHq/4x4=",0)</f>
        <v>#REF!</v>
      </c>
      <c r="AF14" t="e">
        <f>AND(#REF!,"AAAAAHq/4x8=")</f>
        <v>#REF!</v>
      </c>
      <c r="AG14" t="e">
        <f>AND(#REF!,"AAAAAHq/4yA=")</f>
        <v>#REF!</v>
      </c>
      <c r="AH14" t="e">
        <f>IF(#REF!,"AAAAAHq/4yE=",0)</f>
        <v>#REF!</v>
      </c>
      <c r="AI14" t="e">
        <f>AND(#REF!,"AAAAAHq/4yI=")</f>
        <v>#REF!</v>
      </c>
      <c r="AJ14" t="e">
        <f>AND(#REF!,"AAAAAHq/4yM=")</f>
        <v>#REF!</v>
      </c>
      <c r="AK14" t="e">
        <f>IF(#REF!,"AAAAAHq/4yQ=",0)</f>
        <v>#REF!</v>
      </c>
      <c r="AL14" t="e">
        <f>AND(#REF!,"AAAAAHq/4yU=")</f>
        <v>#REF!</v>
      </c>
      <c r="AM14" t="e">
        <f>AND(#REF!,"AAAAAHq/4yY=")</f>
        <v>#REF!</v>
      </c>
      <c r="AN14" t="e">
        <f>IF(#REF!,"AAAAAHq/4yc=",0)</f>
        <v>#REF!</v>
      </c>
      <c r="AO14" t="e">
        <f>AND(#REF!,"AAAAAHq/4yg=")</f>
        <v>#REF!</v>
      </c>
      <c r="AP14" t="e">
        <f>AND(#REF!,"AAAAAHq/4yk=")</f>
        <v>#REF!</v>
      </c>
      <c r="AQ14" t="e">
        <f>IF(#REF!,"AAAAAHq/4yo=",0)</f>
        <v>#REF!</v>
      </c>
      <c r="AR14" t="e">
        <f>AND(#REF!,"AAAAAHq/4ys=")</f>
        <v>#REF!</v>
      </c>
      <c r="AS14" t="e">
        <f>AND(#REF!,"AAAAAHq/4yw=")</f>
        <v>#REF!</v>
      </c>
      <c r="AT14" t="e">
        <f>IF(#REF!,"AAAAAHq/4y0=",0)</f>
        <v>#REF!</v>
      </c>
      <c r="AU14" t="e">
        <f>AND(#REF!,"AAAAAHq/4y4=")</f>
        <v>#REF!</v>
      </c>
      <c r="AV14" t="e">
        <f>AND(#REF!,"AAAAAHq/4y8=")</f>
        <v>#REF!</v>
      </c>
      <c r="AW14" t="e">
        <f>IF(#REF!,"AAAAAHq/4zA=",0)</f>
        <v>#REF!</v>
      </c>
      <c r="AX14" t="e">
        <f>AND(#REF!,"AAAAAHq/4zE=")</f>
        <v>#REF!</v>
      </c>
      <c r="AY14" t="e">
        <f>AND(#REF!,"AAAAAHq/4zI=")</f>
        <v>#REF!</v>
      </c>
      <c r="AZ14" t="e">
        <f>IF(#REF!,"AAAAAHq/4zM=",0)</f>
        <v>#REF!</v>
      </c>
      <c r="BA14" t="e">
        <f>AND(#REF!,"AAAAAHq/4zQ=")</f>
        <v>#REF!</v>
      </c>
      <c r="BB14" t="e">
        <f>AND(#REF!,"AAAAAHq/4zU=")</f>
        <v>#REF!</v>
      </c>
      <c r="BC14" t="e">
        <f>IF(#REF!,"AAAAAHq/4zY=",0)</f>
        <v>#REF!</v>
      </c>
      <c r="BD14" t="e">
        <f>AND(#REF!,"AAAAAHq/4zc=")</f>
        <v>#REF!</v>
      </c>
      <c r="BE14" t="e">
        <f>AND(#REF!,"AAAAAHq/4zg=")</f>
        <v>#REF!</v>
      </c>
      <c r="BF14" t="e">
        <f>IF(#REF!,"AAAAAHq/4zk=",0)</f>
        <v>#REF!</v>
      </c>
      <c r="BG14" t="e">
        <f>AND(#REF!,"AAAAAHq/4zo=")</f>
        <v>#REF!</v>
      </c>
      <c r="BH14" t="e">
        <f>AND(#REF!,"AAAAAHq/4zs=")</f>
        <v>#REF!</v>
      </c>
      <c r="BI14" t="e">
        <f>IF(#REF!,"AAAAAHq/4zw=",0)</f>
        <v>#REF!</v>
      </c>
      <c r="BJ14" t="e">
        <f>AND(#REF!,"AAAAAHq/4z0=")</f>
        <v>#REF!</v>
      </c>
      <c r="BK14" t="e">
        <f>AND(#REF!,"AAAAAHq/4z4=")</f>
        <v>#REF!</v>
      </c>
      <c r="BL14" t="e">
        <f>IF(#REF!,"AAAAAHq/4z8=",0)</f>
        <v>#REF!</v>
      </c>
      <c r="BM14" t="e">
        <f>AND(#REF!,"AAAAAHq/40A=")</f>
        <v>#REF!</v>
      </c>
      <c r="BN14" t="e">
        <f>AND(#REF!,"AAAAAHq/40E=")</f>
        <v>#REF!</v>
      </c>
      <c r="BO14" t="e">
        <f>IF(#REF!,"AAAAAHq/40I=",0)</f>
        <v>#REF!</v>
      </c>
      <c r="BP14" t="e">
        <f>AND(#REF!,"AAAAAHq/40M=")</f>
        <v>#REF!</v>
      </c>
      <c r="BQ14" t="e">
        <f>AND(#REF!,"AAAAAHq/40Q=")</f>
        <v>#REF!</v>
      </c>
      <c r="BR14" t="e">
        <f>IF(#REF!,"AAAAAHq/40U=",0)</f>
        <v>#REF!</v>
      </c>
      <c r="BS14" t="e">
        <f>AND(#REF!,"AAAAAHq/40Y=")</f>
        <v>#REF!</v>
      </c>
      <c r="BT14" t="e">
        <f>AND(#REF!,"AAAAAHq/40c=")</f>
        <v>#REF!</v>
      </c>
      <c r="BU14" t="e">
        <f>IF(#REF!,"AAAAAHq/40g=",0)</f>
        <v>#REF!</v>
      </c>
      <c r="BV14" t="e">
        <f>AND(#REF!,"AAAAAHq/40k=")</f>
        <v>#REF!</v>
      </c>
      <c r="BW14" t="e">
        <f>AND(#REF!,"AAAAAHq/40o=")</f>
        <v>#REF!</v>
      </c>
      <c r="BX14" t="e">
        <f>IF(#REF!,"AAAAAHq/40s=",0)</f>
        <v>#REF!</v>
      </c>
      <c r="BY14" t="e">
        <f>AND(#REF!,"AAAAAHq/40w=")</f>
        <v>#REF!</v>
      </c>
      <c r="BZ14" t="e">
        <f>AND(#REF!,"AAAAAHq/400=")</f>
        <v>#REF!</v>
      </c>
      <c r="CA14" t="e">
        <f>IF(#REF!,"AAAAAHq/404=",0)</f>
        <v>#REF!</v>
      </c>
      <c r="CB14" t="e">
        <f>AND(#REF!,"AAAAAHq/408=")</f>
        <v>#REF!</v>
      </c>
      <c r="CC14" t="e">
        <f>AND(#REF!,"AAAAAHq/41A=")</f>
        <v>#REF!</v>
      </c>
      <c r="CD14" t="e">
        <f>IF(#REF!,"AAAAAHq/41E=",0)</f>
        <v>#REF!</v>
      </c>
      <c r="CE14" t="e">
        <f>AND(#REF!,"AAAAAHq/41I=")</f>
        <v>#REF!</v>
      </c>
      <c r="CF14" t="e">
        <f>AND(#REF!,"AAAAAHq/41M=")</f>
        <v>#REF!</v>
      </c>
      <c r="CG14" t="e">
        <f>IF(#REF!,"AAAAAHq/41Q=",0)</f>
        <v>#REF!</v>
      </c>
      <c r="CH14" t="e">
        <f>AND(#REF!,"AAAAAHq/41U=")</f>
        <v>#REF!</v>
      </c>
      <c r="CI14" t="e">
        <f>AND(#REF!,"AAAAAHq/41Y=")</f>
        <v>#REF!</v>
      </c>
      <c r="CJ14" t="e">
        <f>IF(#REF!,"AAAAAHq/41c=",0)</f>
        <v>#REF!</v>
      </c>
      <c r="CK14" t="e">
        <f>AND(#REF!,"AAAAAHq/41g=")</f>
        <v>#REF!</v>
      </c>
      <c r="CL14" t="e">
        <f>AND(#REF!,"AAAAAHq/41k=")</f>
        <v>#REF!</v>
      </c>
      <c r="CM14" t="e">
        <f>IF(#REF!,"AAAAAHq/41o=",0)</f>
        <v>#REF!</v>
      </c>
      <c r="CN14" t="e">
        <f>AND(#REF!,"AAAAAHq/41s=")</f>
        <v>#REF!</v>
      </c>
      <c r="CO14" t="e">
        <f>AND(#REF!,"AAAAAHq/41w=")</f>
        <v>#REF!</v>
      </c>
      <c r="CP14" t="e">
        <f>IF(#REF!,"AAAAAHq/410=",0)</f>
        <v>#REF!</v>
      </c>
      <c r="CQ14" t="e">
        <f>AND(#REF!,"AAAAAHq/414=")</f>
        <v>#REF!</v>
      </c>
      <c r="CR14" t="e">
        <f>AND(#REF!,"AAAAAHq/418=")</f>
        <v>#REF!</v>
      </c>
      <c r="CS14" t="e">
        <f>IF(#REF!,"AAAAAHq/42A=",0)</f>
        <v>#REF!</v>
      </c>
      <c r="CT14" t="e">
        <f>AND(#REF!,"AAAAAHq/42E=")</f>
        <v>#REF!</v>
      </c>
      <c r="CU14" t="e">
        <f>AND(#REF!,"AAAAAHq/42I=")</f>
        <v>#REF!</v>
      </c>
      <c r="CV14" t="e">
        <f>IF(#REF!,"AAAAAHq/42M=",0)</f>
        <v>#REF!</v>
      </c>
      <c r="CW14" t="e">
        <f>AND(#REF!,"AAAAAHq/42Q=")</f>
        <v>#REF!</v>
      </c>
      <c r="CX14" t="e">
        <f>AND(#REF!,"AAAAAHq/42U=")</f>
        <v>#REF!</v>
      </c>
      <c r="CY14" t="e">
        <f>IF(#REF!,"AAAAAHq/42Y=",0)</f>
        <v>#REF!</v>
      </c>
      <c r="CZ14" t="e">
        <f>AND(#REF!,"AAAAAHq/42c=")</f>
        <v>#REF!</v>
      </c>
      <c r="DA14" t="e">
        <f>AND(#REF!,"AAAAAHq/42g=")</f>
        <v>#REF!</v>
      </c>
      <c r="DB14" t="e">
        <f>IF(#REF!,"AAAAAHq/42k=",0)</f>
        <v>#REF!</v>
      </c>
      <c r="DC14" t="e">
        <f>AND(#REF!,"AAAAAHq/42o=")</f>
        <v>#REF!</v>
      </c>
      <c r="DD14" t="e">
        <f>AND(#REF!,"AAAAAHq/42s=")</f>
        <v>#REF!</v>
      </c>
      <c r="DE14" t="e">
        <f>IF(#REF!,"AAAAAHq/42w=",0)</f>
        <v>#REF!</v>
      </c>
      <c r="DF14" t="e">
        <f>AND(#REF!,"AAAAAHq/420=")</f>
        <v>#REF!</v>
      </c>
      <c r="DG14" t="e">
        <f>AND(#REF!,"AAAAAHq/424=")</f>
        <v>#REF!</v>
      </c>
      <c r="DH14" t="e">
        <f>IF(#REF!,"AAAAAHq/428=",0)</f>
        <v>#REF!</v>
      </c>
      <c r="DI14" t="e">
        <f>AND(#REF!,"AAAAAHq/43A=")</f>
        <v>#REF!</v>
      </c>
      <c r="DJ14" t="e">
        <f>AND(#REF!,"AAAAAHq/43E=")</f>
        <v>#REF!</v>
      </c>
      <c r="DK14" t="e">
        <f>IF(#REF!,"AAAAAHq/43I=",0)</f>
        <v>#REF!</v>
      </c>
      <c r="DL14" t="e">
        <f>AND(#REF!,"AAAAAHq/43M=")</f>
        <v>#REF!</v>
      </c>
      <c r="DM14" t="e">
        <f>AND(#REF!,"AAAAAHq/43Q=")</f>
        <v>#REF!</v>
      </c>
      <c r="DN14" t="e">
        <f>IF(#REF!,"AAAAAHq/43U=",0)</f>
        <v>#REF!</v>
      </c>
      <c r="DO14" t="e">
        <f>AND(#REF!,"AAAAAHq/43Y=")</f>
        <v>#REF!</v>
      </c>
      <c r="DP14" t="e">
        <f>AND(#REF!,"AAAAAHq/43c=")</f>
        <v>#REF!</v>
      </c>
      <c r="DQ14" t="e">
        <f>IF(#REF!,"AAAAAHq/43g=",0)</f>
        <v>#REF!</v>
      </c>
      <c r="DR14" t="e">
        <f>AND(#REF!,"AAAAAHq/43k=")</f>
        <v>#REF!</v>
      </c>
      <c r="DS14" t="e">
        <f>AND(#REF!,"AAAAAHq/43o=")</f>
        <v>#REF!</v>
      </c>
      <c r="DT14" t="e">
        <f>IF(#REF!,"AAAAAHq/43s=",0)</f>
        <v>#REF!</v>
      </c>
      <c r="DU14" t="e">
        <f>AND(#REF!,"AAAAAHq/43w=")</f>
        <v>#REF!</v>
      </c>
      <c r="DV14" t="e">
        <f>AND(#REF!,"AAAAAHq/430=")</f>
        <v>#REF!</v>
      </c>
      <c r="DW14" t="e">
        <f>IF(#REF!,"AAAAAHq/434=",0)</f>
        <v>#REF!</v>
      </c>
      <c r="DX14" t="e">
        <f>AND(#REF!,"AAAAAHq/438=")</f>
        <v>#REF!</v>
      </c>
      <c r="DY14" t="e">
        <f>AND(#REF!,"AAAAAHq/44A=")</f>
        <v>#REF!</v>
      </c>
      <c r="DZ14" t="e">
        <f>IF(#REF!,"AAAAAHq/44E=",0)</f>
        <v>#REF!</v>
      </c>
      <c r="EA14" t="e">
        <f>AND(#REF!,"AAAAAHq/44I=")</f>
        <v>#REF!</v>
      </c>
      <c r="EB14" t="e">
        <f>AND(#REF!,"AAAAAHq/44M=")</f>
        <v>#REF!</v>
      </c>
      <c r="EC14" t="e">
        <f>IF(#REF!,"AAAAAHq/44Q=",0)</f>
        <v>#REF!</v>
      </c>
      <c r="ED14" t="e">
        <f>AND(#REF!,"AAAAAHq/44U=")</f>
        <v>#REF!</v>
      </c>
      <c r="EE14" t="e">
        <f>AND(#REF!,"AAAAAHq/44Y=")</f>
        <v>#REF!</v>
      </c>
      <c r="EF14" t="e">
        <f>IF(#REF!,"AAAAAHq/44c=",0)</f>
        <v>#REF!</v>
      </c>
      <c r="EG14" t="e">
        <f>AND(#REF!,"AAAAAHq/44g=")</f>
        <v>#REF!</v>
      </c>
      <c r="EH14" t="e">
        <f>AND(#REF!,"AAAAAHq/44k=")</f>
        <v>#REF!</v>
      </c>
      <c r="EI14" t="e">
        <f>IF(#REF!,"AAAAAHq/44o=",0)</f>
        <v>#REF!</v>
      </c>
      <c r="EJ14" t="e">
        <f>AND(#REF!,"AAAAAHq/44s=")</f>
        <v>#REF!</v>
      </c>
      <c r="EK14" t="e">
        <f>AND(#REF!,"AAAAAHq/44w=")</f>
        <v>#REF!</v>
      </c>
      <c r="EL14" t="e">
        <f>IF(#REF!,"AAAAAHq/440=",0)</f>
        <v>#REF!</v>
      </c>
      <c r="EM14" t="e">
        <f>AND(#REF!,"AAAAAHq/444=")</f>
        <v>#REF!</v>
      </c>
      <c r="EN14" t="e">
        <f>AND(#REF!,"AAAAAHq/448=")</f>
        <v>#REF!</v>
      </c>
      <c r="EO14" t="e">
        <f>IF(#REF!,"AAAAAHq/45A=",0)</f>
        <v>#REF!</v>
      </c>
      <c r="EP14" t="e">
        <f>AND(#REF!,"AAAAAHq/45E=")</f>
        <v>#REF!</v>
      </c>
      <c r="EQ14" t="e">
        <f>AND(#REF!,"AAAAAHq/45I=")</f>
        <v>#REF!</v>
      </c>
      <c r="ER14" t="e">
        <f>IF(#REF!,"AAAAAHq/45M=",0)</f>
        <v>#REF!</v>
      </c>
      <c r="ES14" t="e">
        <f>AND(#REF!,"AAAAAHq/45Q=")</f>
        <v>#REF!</v>
      </c>
      <c r="ET14" t="e">
        <f>AND(#REF!,"AAAAAHq/45U=")</f>
        <v>#REF!</v>
      </c>
      <c r="EU14" t="e">
        <f>IF(#REF!,"AAAAAHq/45Y=",0)</f>
        <v>#REF!</v>
      </c>
      <c r="EV14" t="e">
        <f>AND(#REF!,"AAAAAHq/45c=")</f>
        <v>#REF!</v>
      </c>
      <c r="EW14" t="e">
        <f>AND(#REF!,"AAAAAHq/45g=")</f>
        <v>#REF!</v>
      </c>
      <c r="EX14" t="e">
        <f>IF(#REF!,"AAAAAHq/45k=",0)</f>
        <v>#REF!</v>
      </c>
      <c r="EY14" t="e">
        <f>AND(#REF!,"AAAAAHq/45o=")</f>
        <v>#REF!</v>
      </c>
      <c r="EZ14" t="e">
        <f>AND(#REF!,"AAAAAHq/45s=")</f>
        <v>#REF!</v>
      </c>
      <c r="FA14" t="e">
        <f>IF(#REF!,"AAAAAHq/45w=",0)</f>
        <v>#REF!</v>
      </c>
      <c r="FB14" t="e">
        <f>AND(#REF!,"AAAAAHq/450=")</f>
        <v>#REF!</v>
      </c>
      <c r="FC14" t="e">
        <f>AND(#REF!,"AAAAAHq/454=")</f>
        <v>#REF!</v>
      </c>
      <c r="FD14" t="e">
        <f>IF(#REF!,"AAAAAHq/458=",0)</f>
        <v>#REF!</v>
      </c>
      <c r="FE14" t="e">
        <f>AND(#REF!,"AAAAAHq/46A=")</f>
        <v>#REF!</v>
      </c>
      <c r="FF14" t="e">
        <f>AND(#REF!,"AAAAAHq/46E=")</f>
        <v>#REF!</v>
      </c>
      <c r="FG14" t="e">
        <f>IF(#REF!,"AAAAAHq/46I=",0)</f>
        <v>#REF!</v>
      </c>
      <c r="FH14" t="e">
        <f>AND(#REF!,"AAAAAHq/46M=")</f>
        <v>#REF!</v>
      </c>
      <c r="FI14" t="e">
        <f>AND(#REF!,"AAAAAHq/46Q=")</f>
        <v>#REF!</v>
      </c>
      <c r="FJ14" t="e">
        <f>IF(#REF!,"AAAAAHq/46U=",0)</f>
        <v>#REF!</v>
      </c>
      <c r="FK14" t="e">
        <f>AND(#REF!,"AAAAAHq/46Y=")</f>
        <v>#REF!</v>
      </c>
      <c r="FL14" t="e">
        <f>AND(#REF!,"AAAAAHq/46c=")</f>
        <v>#REF!</v>
      </c>
      <c r="FM14" t="e">
        <f>IF(#REF!,"AAAAAHq/46g=",0)</f>
        <v>#REF!</v>
      </c>
      <c r="FN14" t="e">
        <f>AND(#REF!,"AAAAAHq/46k=")</f>
        <v>#REF!</v>
      </c>
      <c r="FO14" t="e">
        <f>AND(#REF!,"AAAAAHq/46o=")</f>
        <v>#REF!</v>
      </c>
      <c r="FP14" t="e">
        <f>IF(#REF!,"AAAAAHq/46s=",0)</f>
        <v>#REF!</v>
      </c>
      <c r="FQ14" t="e">
        <f>AND(#REF!,"AAAAAHq/46w=")</f>
        <v>#REF!</v>
      </c>
      <c r="FR14" t="e">
        <f>AND(#REF!,"AAAAAHq/460=")</f>
        <v>#REF!</v>
      </c>
      <c r="FS14" t="e">
        <f>IF(#REF!,"AAAAAHq/464=",0)</f>
        <v>#REF!</v>
      </c>
      <c r="FT14" t="e">
        <f>AND(#REF!,"AAAAAHq/468=")</f>
        <v>#REF!</v>
      </c>
      <c r="FU14" t="e">
        <f>AND(#REF!,"AAAAAHq/47A=")</f>
        <v>#REF!</v>
      </c>
      <c r="FV14" t="e">
        <f>IF(#REF!,"AAAAAHq/47E=",0)</f>
        <v>#REF!</v>
      </c>
      <c r="FW14" t="e">
        <f>AND(#REF!,"AAAAAHq/47I=")</f>
        <v>#REF!</v>
      </c>
      <c r="FX14" t="e">
        <f>AND(#REF!,"AAAAAHq/47M=")</f>
        <v>#REF!</v>
      </c>
      <c r="FY14" t="e">
        <f>IF(#REF!,"AAAAAHq/47Q=",0)</f>
        <v>#REF!</v>
      </c>
      <c r="FZ14" t="e">
        <f>AND(#REF!,"AAAAAHq/47U=")</f>
        <v>#REF!</v>
      </c>
      <c r="GA14" t="e">
        <f>AND(#REF!,"AAAAAHq/47Y=")</f>
        <v>#REF!</v>
      </c>
      <c r="GB14" t="e">
        <f>IF(#REF!,"AAAAAHq/47c=",0)</f>
        <v>#REF!</v>
      </c>
      <c r="GC14" t="e">
        <f>AND(#REF!,"AAAAAHq/47g=")</f>
        <v>#REF!</v>
      </c>
      <c r="GD14" t="e">
        <f>AND(#REF!,"AAAAAHq/47k=")</f>
        <v>#REF!</v>
      </c>
      <c r="GE14" t="e">
        <f>IF(#REF!,"AAAAAHq/47o=",0)</f>
        <v>#REF!</v>
      </c>
      <c r="GF14" t="e">
        <f>AND(#REF!,"AAAAAHq/47s=")</f>
        <v>#REF!</v>
      </c>
      <c r="GG14" t="e">
        <f>AND(#REF!,"AAAAAHq/47w=")</f>
        <v>#REF!</v>
      </c>
      <c r="GH14" t="e">
        <f>IF(#REF!,"AAAAAHq/470=",0)</f>
        <v>#REF!</v>
      </c>
      <c r="GI14" t="e">
        <f>AND(#REF!,"AAAAAHq/474=")</f>
        <v>#REF!</v>
      </c>
      <c r="GJ14" t="e">
        <f>AND(#REF!,"AAAAAHq/478=")</f>
        <v>#REF!</v>
      </c>
      <c r="GK14" t="e">
        <f>IF(#REF!,"AAAAAHq/48A=",0)</f>
        <v>#REF!</v>
      </c>
      <c r="GL14" t="e">
        <f>AND(#REF!,"AAAAAHq/48E=")</f>
        <v>#REF!</v>
      </c>
      <c r="GM14" t="e">
        <f>AND(#REF!,"AAAAAHq/48I=")</f>
        <v>#REF!</v>
      </c>
      <c r="GN14" t="e">
        <f>IF(#REF!,"AAAAAHq/48M=",0)</f>
        <v>#REF!</v>
      </c>
      <c r="GO14" t="e">
        <f>AND(#REF!,"AAAAAHq/48Q=")</f>
        <v>#REF!</v>
      </c>
      <c r="GP14" t="e">
        <f>AND(#REF!,"AAAAAHq/48U=")</f>
        <v>#REF!</v>
      </c>
      <c r="GQ14" t="e">
        <f>IF(#REF!,"AAAAAHq/48Y=",0)</f>
        <v>#REF!</v>
      </c>
      <c r="GR14" t="e">
        <f>AND(#REF!,"AAAAAHq/48c=")</f>
        <v>#REF!</v>
      </c>
      <c r="GS14" t="e">
        <f>AND(#REF!,"AAAAAHq/48g=")</f>
        <v>#REF!</v>
      </c>
      <c r="GT14" t="e">
        <f>IF(#REF!,"AAAAAHq/48k=",0)</f>
        <v>#REF!</v>
      </c>
      <c r="GU14" t="e">
        <f>AND(#REF!,"AAAAAHq/48o=")</f>
        <v>#REF!</v>
      </c>
      <c r="GV14" t="e">
        <f>AND(#REF!,"AAAAAHq/48s=")</f>
        <v>#REF!</v>
      </c>
      <c r="GW14" t="e">
        <f>IF(#REF!,"AAAAAHq/48w=",0)</f>
        <v>#REF!</v>
      </c>
      <c r="GX14" t="e">
        <f>AND(#REF!,"AAAAAHq/480=")</f>
        <v>#REF!</v>
      </c>
      <c r="GY14" t="e">
        <f>AND(#REF!,"AAAAAHq/484=")</f>
        <v>#REF!</v>
      </c>
      <c r="GZ14" t="e">
        <f>IF(#REF!,"AAAAAHq/488=",0)</f>
        <v>#REF!</v>
      </c>
      <c r="HA14" t="e">
        <f>AND(#REF!,"AAAAAHq/49A=")</f>
        <v>#REF!</v>
      </c>
      <c r="HB14" t="e">
        <f>AND(#REF!,"AAAAAHq/49E=")</f>
        <v>#REF!</v>
      </c>
      <c r="HC14" t="e">
        <f>IF(#REF!,"AAAAAHq/49I=",0)</f>
        <v>#REF!</v>
      </c>
      <c r="HD14" t="e">
        <f>AND(#REF!,"AAAAAHq/49M=")</f>
        <v>#REF!</v>
      </c>
      <c r="HE14" t="e">
        <f>AND(#REF!,"AAAAAHq/49Q=")</f>
        <v>#REF!</v>
      </c>
      <c r="HF14" t="e">
        <f>IF(#REF!,"AAAAAHq/49U=",0)</f>
        <v>#REF!</v>
      </c>
      <c r="HG14" t="e">
        <f>AND(#REF!,"AAAAAHq/49Y=")</f>
        <v>#REF!</v>
      </c>
      <c r="HH14" t="e">
        <f>AND(#REF!,"AAAAAHq/49c=")</f>
        <v>#REF!</v>
      </c>
      <c r="HI14" t="e">
        <f>IF(#REF!,"AAAAAHq/49g=",0)</f>
        <v>#REF!</v>
      </c>
      <c r="HJ14" t="e">
        <f>AND(#REF!,"AAAAAHq/49k=")</f>
        <v>#REF!</v>
      </c>
      <c r="HK14" t="e">
        <f>AND(#REF!,"AAAAAHq/49o=")</f>
        <v>#REF!</v>
      </c>
      <c r="HL14" t="e">
        <f>IF(#REF!,"AAAAAHq/49s=",0)</f>
        <v>#REF!</v>
      </c>
      <c r="HM14" t="e">
        <f>AND(#REF!,"AAAAAHq/49w=")</f>
        <v>#REF!</v>
      </c>
      <c r="HN14" t="e">
        <f>AND(#REF!,"AAAAAHq/490=")</f>
        <v>#REF!</v>
      </c>
      <c r="HO14" t="e">
        <f>IF(#REF!,"AAAAAHq/494=",0)</f>
        <v>#REF!</v>
      </c>
      <c r="HP14" t="e">
        <f>AND(#REF!,"AAAAAHq/498=")</f>
        <v>#REF!</v>
      </c>
      <c r="HQ14" t="e">
        <f>AND(#REF!,"AAAAAHq/4+A=")</f>
        <v>#REF!</v>
      </c>
      <c r="HR14" t="e">
        <f>IF(#REF!,"AAAAAHq/4+E=",0)</f>
        <v>#REF!</v>
      </c>
      <c r="HS14" t="e">
        <f>AND(#REF!,"AAAAAHq/4+I=")</f>
        <v>#REF!</v>
      </c>
      <c r="HT14" t="e">
        <f>AND(#REF!,"AAAAAHq/4+M=")</f>
        <v>#REF!</v>
      </c>
      <c r="HU14" t="e">
        <f>IF(#REF!,"AAAAAHq/4+Q=",0)</f>
        <v>#REF!</v>
      </c>
      <c r="HV14" t="e">
        <f>AND(#REF!,"AAAAAHq/4+U=")</f>
        <v>#REF!</v>
      </c>
      <c r="HW14" t="e">
        <f>AND(#REF!,"AAAAAHq/4+Y=")</f>
        <v>#REF!</v>
      </c>
      <c r="HX14" t="e">
        <f>IF(#REF!,"AAAAAHq/4+c=",0)</f>
        <v>#REF!</v>
      </c>
      <c r="HY14" t="e">
        <f>AND(#REF!,"AAAAAHq/4+g=")</f>
        <v>#REF!</v>
      </c>
      <c r="HZ14" t="e">
        <f>AND(#REF!,"AAAAAHq/4+k=")</f>
        <v>#REF!</v>
      </c>
      <c r="IA14" t="e">
        <f>IF(#REF!,"AAAAAHq/4+o=",0)</f>
        <v>#REF!</v>
      </c>
      <c r="IB14" t="e">
        <f>AND(#REF!,"AAAAAHq/4+s=")</f>
        <v>#REF!</v>
      </c>
      <c r="IC14" t="e">
        <f>AND(#REF!,"AAAAAHq/4+w=")</f>
        <v>#REF!</v>
      </c>
      <c r="ID14" t="e">
        <f>IF(#REF!,"AAAAAHq/4+0=",0)</f>
        <v>#REF!</v>
      </c>
      <c r="IE14" t="e">
        <f>AND(#REF!,"AAAAAHq/4+4=")</f>
        <v>#REF!</v>
      </c>
      <c r="IF14" t="e">
        <f>AND(#REF!,"AAAAAHq/4+8=")</f>
        <v>#REF!</v>
      </c>
      <c r="IG14" t="e">
        <f>IF(#REF!,"AAAAAHq/4/A=",0)</f>
        <v>#REF!</v>
      </c>
      <c r="IH14" t="e">
        <f>AND(#REF!,"AAAAAHq/4/E=")</f>
        <v>#REF!</v>
      </c>
      <c r="II14" t="e">
        <f>AND(#REF!,"AAAAAHq/4/I=")</f>
        <v>#REF!</v>
      </c>
      <c r="IJ14" t="e">
        <f>IF(#REF!,"AAAAAHq/4/M=",0)</f>
        <v>#REF!</v>
      </c>
      <c r="IK14" t="e">
        <f>AND(#REF!,"AAAAAHq/4/Q=")</f>
        <v>#REF!</v>
      </c>
      <c r="IL14" t="e">
        <f>AND(#REF!,"AAAAAHq/4/U=")</f>
        <v>#REF!</v>
      </c>
      <c r="IM14" t="e">
        <f>IF(#REF!,"AAAAAHq/4/Y=",0)</f>
        <v>#REF!</v>
      </c>
      <c r="IN14" t="e">
        <f>AND(#REF!,"AAAAAHq/4/c=")</f>
        <v>#REF!</v>
      </c>
      <c r="IO14" t="e">
        <f>AND(#REF!,"AAAAAHq/4/g=")</f>
        <v>#REF!</v>
      </c>
      <c r="IP14" t="e">
        <f>IF(#REF!,"AAAAAHq/4/k=",0)</f>
        <v>#REF!</v>
      </c>
      <c r="IQ14" t="e">
        <f>AND(#REF!,"AAAAAHq/4/o=")</f>
        <v>#REF!</v>
      </c>
      <c r="IR14" t="e">
        <f>AND(#REF!,"AAAAAHq/4/s=")</f>
        <v>#REF!</v>
      </c>
      <c r="IS14" t="e">
        <f>IF(#REF!,"AAAAAHq/4/w=",0)</f>
        <v>#REF!</v>
      </c>
      <c r="IT14" t="e">
        <f>AND(#REF!,"AAAAAHq/4/0=")</f>
        <v>#REF!</v>
      </c>
      <c r="IU14" t="e">
        <f>AND(#REF!,"AAAAAHq/4/4=")</f>
        <v>#REF!</v>
      </c>
      <c r="IV14" t="e">
        <f>IF(#REF!,"AAAAAHq/4/8=",0)</f>
        <v>#REF!</v>
      </c>
    </row>
    <row r="15" spans="1:256" x14ac:dyDescent="0.3">
      <c r="A15" t="e">
        <f>AND(#REF!,"AAAAAC//uwA=")</f>
        <v>#REF!</v>
      </c>
      <c r="B15" t="e">
        <f>AND(#REF!,"AAAAAC//uwE=")</f>
        <v>#REF!</v>
      </c>
      <c r="C15" t="e">
        <f>IF(#REF!,"AAAAAC//uwI=",0)</f>
        <v>#REF!</v>
      </c>
      <c r="D15" t="e">
        <f>AND(#REF!,"AAAAAC//uwM=")</f>
        <v>#REF!</v>
      </c>
      <c r="E15" t="e">
        <f>AND(#REF!,"AAAAAC//uwQ=")</f>
        <v>#REF!</v>
      </c>
      <c r="F15" t="e">
        <f>IF(#REF!,"AAAAAC//uwU=",0)</f>
        <v>#REF!</v>
      </c>
      <c r="G15" t="e">
        <f>AND(#REF!,"AAAAAC//uwY=")</f>
        <v>#REF!</v>
      </c>
      <c r="H15" t="e">
        <f>AND(#REF!,"AAAAAC//uwc=")</f>
        <v>#REF!</v>
      </c>
      <c r="I15" t="e">
        <f>IF(#REF!,"AAAAAC//uwg=",0)</f>
        <v>#REF!</v>
      </c>
      <c r="J15" t="e">
        <f>AND(#REF!,"AAAAAC//uwk=")</f>
        <v>#REF!</v>
      </c>
      <c r="K15" t="e">
        <f>AND(#REF!,"AAAAAC//uwo=")</f>
        <v>#REF!</v>
      </c>
      <c r="L15" t="e">
        <f>IF(#REF!,"AAAAAC//uws=",0)</f>
        <v>#REF!</v>
      </c>
      <c r="M15" t="e">
        <f>AND(#REF!,"AAAAAC//uww=")</f>
        <v>#REF!</v>
      </c>
      <c r="N15" t="e">
        <f>AND(#REF!,"AAAAAC//uw0=")</f>
        <v>#REF!</v>
      </c>
      <c r="O15" t="e">
        <f>IF(#REF!,"AAAAAC//uw4=",0)</f>
        <v>#REF!</v>
      </c>
      <c r="P15" t="e">
        <f>AND(#REF!,"AAAAAC//uw8=")</f>
        <v>#REF!</v>
      </c>
      <c r="Q15" t="e">
        <f>AND(#REF!,"AAAAAC//uxA=")</f>
        <v>#REF!</v>
      </c>
      <c r="R15" t="e">
        <f>IF(#REF!,"AAAAAC//uxE=",0)</f>
        <v>#REF!</v>
      </c>
      <c r="S15" t="e">
        <f>AND(#REF!,"AAAAAC//uxI=")</f>
        <v>#REF!</v>
      </c>
      <c r="T15" t="e">
        <f>AND(#REF!,"AAAAAC//uxM=")</f>
        <v>#REF!</v>
      </c>
      <c r="U15" t="e">
        <f>IF(#REF!,"AAAAAC//uxQ=",0)</f>
        <v>#REF!</v>
      </c>
      <c r="V15" t="e">
        <f>AND(#REF!,"AAAAAC//uxU=")</f>
        <v>#REF!</v>
      </c>
      <c r="W15" t="e">
        <f>AND(#REF!,"AAAAAC//uxY=")</f>
        <v>#REF!</v>
      </c>
      <c r="X15" t="e">
        <f>IF(#REF!,"AAAAAC//uxc=",0)</f>
        <v>#REF!</v>
      </c>
      <c r="Y15" t="e">
        <f>AND(#REF!,"AAAAAC//uxg=")</f>
        <v>#REF!</v>
      </c>
      <c r="Z15" t="e">
        <f>AND(#REF!,"AAAAAC//uxk=")</f>
        <v>#REF!</v>
      </c>
      <c r="AA15" t="e">
        <f>IF(#REF!,"AAAAAC//uxo=",0)</f>
        <v>#REF!</v>
      </c>
      <c r="AB15" t="e">
        <f>AND(#REF!,"AAAAAC//uxs=")</f>
        <v>#REF!</v>
      </c>
      <c r="AC15" t="e">
        <f>AND(#REF!,"AAAAAC//uxw=")</f>
        <v>#REF!</v>
      </c>
      <c r="AD15" t="e">
        <f>IF(#REF!,"AAAAAC//ux0=",0)</f>
        <v>#REF!</v>
      </c>
      <c r="AE15" t="e">
        <f>AND(#REF!,"AAAAAC//ux4=")</f>
        <v>#REF!</v>
      </c>
      <c r="AF15" t="e">
        <f>AND(#REF!,"AAAAAC//ux8=")</f>
        <v>#REF!</v>
      </c>
      <c r="AG15" t="e">
        <f>IF(#REF!,"AAAAAC//uyA=",0)</f>
        <v>#REF!</v>
      </c>
      <c r="AH15" t="e">
        <f>AND(#REF!,"AAAAAC//uyE=")</f>
        <v>#REF!</v>
      </c>
      <c r="AI15" t="e">
        <f>AND(#REF!,"AAAAAC//uyI=")</f>
        <v>#REF!</v>
      </c>
      <c r="AJ15" t="e">
        <f>IF(#REF!,"AAAAAC//uyM=",0)</f>
        <v>#REF!</v>
      </c>
      <c r="AK15" t="e">
        <f>AND(#REF!,"AAAAAC//uyQ=")</f>
        <v>#REF!</v>
      </c>
      <c r="AL15" t="e">
        <f>AND(#REF!,"AAAAAC//uyU=")</f>
        <v>#REF!</v>
      </c>
      <c r="AM15" t="e">
        <f>IF(#REF!,"AAAAAC//uyY=",0)</f>
        <v>#REF!</v>
      </c>
      <c r="AN15" t="e">
        <f>AND(#REF!,"AAAAAC//uyc=")</f>
        <v>#REF!</v>
      </c>
      <c r="AO15" t="e">
        <f>AND(#REF!,"AAAAAC//uyg=")</f>
        <v>#REF!</v>
      </c>
      <c r="AP15" t="e">
        <f>IF(#REF!,"AAAAAC//uyk=",0)</f>
        <v>#REF!</v>
      </c>
      <c r="AQ15" t="e">
        <f>AND(#REF!,"AAAAAC//uyo=")</f>
        <v>#REF!</v>
      </c>
      <c r="AR15" t="e">
        <f>AND(#REF!,"AAAAAC//uys=")</f>
        <v>#REF!</v>
      </c>
      <c r="AS15" t="e">
        <f>IF(#REF!,"AAAAAC//uyw=",0)</f>
        <v>#REF!</v>
      </c>
      <c r="AT15" t="e">
        <f>AND(#REF!,"AAAAAC//uy0=")</f>
        <v>#REF!</v>
      </c>
      <c r="AU15" t="e">
        <f>AND(#REF!,"AAAAAC//uy4=")</f>
        <v>#REF!</v>
      </c>
      <c r="AV15" t="e">
        <f>IF(#REF!,"AAAAAC//uy8=",0)</f>
        <v>#REF!</v>
      </c>
      <c r="AW15" t="e">
        <f>AND(#REF!,"AAAAAC//uzA=")</f>
        <v>#REF!</v>
      </c>
      <c r="AX15" t="e">
        <f>AND(#REF!,"AAAAAC//uzE=")</f>
        <v>#REF!</v>
      </c>
      <c r="AY15" t="e">
        <f>IF(#REF!,"AAAAAC//uzI=",0)</f>
        <v>#REF!</v>
      </c>
      <c r="AZ15" t="e">
        <f>AND(#REF!,"AAAAAC//uzM=")</f>
        <v>#REF!</v>
      </c>
      <c r="BA15" t="e">
        <f>AND(#REF!,"AAAAAC//uzQ=")</f>
        <v>#REF!</v>
      </c>
      <c r="BB15" t="e">
        <f>IF(#REF!,"AAAAAC//uzU=",0)</f>
        <v>#REF!</v>
      </c>
      <c r="BC15" t="e">
        <f>AND(#REF!,"AAAAAC//uzY=")</f>
        <v>#REF!</v>
      </c>
      <c r="BD15" t="e">
        <f>AND(#REF!,"AAAAAC//uzc=")</f>
        <v>#REF!</v>
      </c>
      <c r="BE15" t="e">
        <f>IF(#REF!,"AAAAAC//uzg=",0)</f>
        <v>#REF!</v>
      </c>
      <c r="BF15" t="e">
        <f>AND(#REF!,"AAAAAC//uzk=")</f>
        <v>#REF!</v>
      </c>
      <c r="BG15" t="e">
        <f>AND(#REF!,"AAAAAC//uzo=")</f>
        <v>#REF!</v>
      </c>
      <c r="BH15" t="e">
        <f>IF(#REF!,"AAAAAC//uzs=",0)</f>
        <v>#REF!</v>
      </c>
      <c r="BI15" t="e">
        <f>AND(#REF!,"AAAAAC//uzw=")</f>
        <v>#REF!</v>
      </c>
      <c r="BJ15" t="e">
        <f>AND(#REF!,"AAAAAC//uz0=")</f>
        <v>#REF!</v>
      </c>
      <c r="BK15" t="e">
        <f>IF(#REF!,"AAAAAC//uz4=",0)</f>
        <v>#REF!</v>
      </c>
      <c r="BL15" t="e">
        <f>AND(#REF!,"AAAAAC//uz8=")</f>
        <v>#REF!</v>
      </c>
      <c r="BM15" t="e">
        <f>AND(#REF!,"AAAAAC//u0A=")</f>
        <v>#REF!</v>
      </c>
      <c r="BN15" t="e">
        <f>IF(#REF!,"AAAAAC//u0E=",0)</f>
        <v>#REF!</v>
      </c>
      <c r="BO15" t="e">
        <f>AND(#REF!,"AAAAAC//u0I=")</f>
        <v>#REF!</v>
      </c>
      <c r="BP15" t="e">
        <f>AND(#REF!,"AAAAAC//u0M=")</f>
        <v>#REF!</v>
      </c>
      <c r="BQ15" t="e">
        <f>IF(#REF!,"AAAAAC//u0Q=",0)</f>
        <v>#REF!</v>
      </c>
      <c r="BR15" t="e">
        <f>AND(#REF!,"AAAAAC//u0U=")</f>
        <v>#REF!</v>
      </c>
      <c r="BS15" t="e">
        <f>AND(#REF!,"AAAAAC//u0Y=")</f>
        <v>#REF!</v>
      </c>
      <c r="BT15" t="e">
        <f>IF(#REF!,"AAAAAC//u0c=",0)</f>
        <v>#REF!</v>
      </c>
      <c r="BU15" t="e">
        <f>AND(#REF!,"AAAAAC//u0g=")</f>
        <v>#REF!</v>
      </c>
      <c r="BV15" t="e">
        <f>AND(#REF!,"AAAAAC//u0k=")</f>
        <v>#REF!</v>
      </c>
      <c r="BW15" t="e">
        <f>IF(#REF!,"AAAAAC//u0o=",0)</f>
        <v>#REF!</v>
      </c>
      <c r="BX15" t="e">
        <f>AND(#REF!,"AAAAAC//u0s=")</f>
        <v>#REF!</v>
      </c>
      <c r="BY15" t="e">
        <f>AND(#REF!,"AAAAAC//u0w=")</f>
        <v>#REF!</v>
      </c>
      <c r="BZ15" t="e">
        <f>IF(#REF!,"AAAAAC//u00=",0)</f>
        <v>#REF!</v>
      </c>
      <c r="CA15" t="e">
        <f>AND(#REF!,"AAAAAC//u04=")</f>
        <v>#REF!</v>
      </c>
      <c r="CB15" t="e">
        <f>AND(#REF!,"AAAAAC//u08=")</f>
        <v>#REF!</v>
      </c>
      <c r="CC15" t="e">
        <f>IF(#REF!,"AAAAAC//u1A=",0)</f>
        <v>#REF!</v>
      </c>
      <c r="CD15" t="e">
        <f>AND(#REF!,"AAAAAC//u1E=")</f>
        <v>#REF!</v>
      </c>
      <c r="CE15" t="e">
        <f>AND(#REF!,"AAAAAC//u1I=")</f>
        <v>#REF!</v>
      </c>
      <c r="CF15" t="e">
        <f>IF(#REF!,"AAAAAC//u1M=",0)</f>
        <v>#REF!</v>
      </c>
      <c r="CG15" t="e">
        <f>AND(#REF!,"AAAAAC//u1Q=")</f>
        <v>#REF!</v>
      </c>
      <c r="CH15" t="e">
        <f>AND(#REF!,"AAAAAC//u1U=")</f>
        <v>#REF!</v>
      </c>
      <c r="CI15" t="e">
        <f>IF(#REF!,"AAAAAC//u1Y=",0)</f>
        <v>#REF!</v>
      </c>
      <c r="CJ15" t="e">
        <f>AND(#REF!,"AAAAAC//u1c=")</f>
        <v>#REF!</v>
      </c>
      <c r="CK15" t="e">
        <f>AND(#REF!,"AAAAAC//u1g=")</f>
        <v>#REF!</v>
      </c>
      <c r="CL15" t="e">
        <f>IF(#REF!,"AAAAAC//u1k=",0)</f>
        <v>#REF!</v>
      </c>
      <c r="CM15" t="e">
        <f>AND(#REF!,"AAAAAC//u1o=")</f>
        <v>#REF!</v>
      </c>
      <c r="CN15" t="e">
        <f>AND(#REF!,"AAAAAC//u1s=")</f>
        <v>#REF!</v>
      </c>
      <c r="CO15" t="e">
        <f>IF(#REF!,"AAAAAC//u1w=",0)</f>
        <v>#REF!</v>
      </c>
      <c r="CP15" t="e">
        <f>AND(#REF!,"AAAAAC//u10=")</f>
        <v>#REF!</v>
      </c>
      <c r="CQ15" t="e">
        <f>AND(#REF!,"AAAAAC//u14=")</f>
        <v>#REF!</v>
      </c>
      <c r="CR15" t="e">
        <f>IF(#REF!,"AAAAAC//u18=",0)</f>
        <v>#REF!</v>
      </c>
      <c r="CS15" t="e">
        <f>IF(#REF!,"AAAAAC//u2A=",0)</f>
        <v>#REF!</v>
      </c>
      <c r="CT15" t="e">
        <f>IF(#REF!,"AAAAAC//u2E=",0)</f>
        <v>#REF!</v>
      </c>
      <c r="CU15" t="e">
        <f>AND(#REF!,"AAAAAC//u2I=")</f>
        <v>#REF!</v>
      </c>
      <c r="CV15" t="e">
        <f>AND(#REF!,"AAAAAC//u2M=")</f>
        <v>#REF!</v>
      </c>
      <c r="CW15" t="e">
        <f>IF(#REF!,"AAAAAC//u2Q=",0)</f>
        <v>#REF!</v>
      </c>
      <c r="CX15" t="e">
        <f>AND(#REF!,"AAAAAC//u2U=")</f>
        <v>#REF!</v>
      </c>
      <c r="CY15" t="e">
        <f>AND(#REF!,"AAAAAC//u2Y=")</f>
        <v>#REF!</v>
      </c>
      <c r="CZ15" t="e">
        <f>IF(#REF!,"AAAAAC//u2c=",0)</f>
        <v>#REF!</v>
      </c>
      <c r="DA15" t="e">
        <f>AND(#REF!,"AAAAAC//u2g=")</f>
        <v>#REF!</v>
      </c>
      <c r="DB15" t="e">
        <f>AND(#REF!,"AAAAAC//u2k=")</f>
        <v>#REF!</v>
      </c>
      <c r="DC15" t="e">
        <f>IF(#REF!,"AAAAAC//u2o=",0)</f>
        <v>#REF!</v>
      </c>
      <c r="DD15" t="e">
        <f>AND(#REF!,"AAAAAC//u2s=")</f>
        <v>#REF!</v>
      </c>
      <c r="DE15" t="e">
        <f>AND(#REF!,"AAAAAC//u2w=")</f>
        <v>#REF!</v>
      </c>
      <c r="DF15" t="e">
        <f>IF(#REF!,"AAAAAC//u20=",0)</f>
        <v>#REF!</v>
      </c>
      <c r="DG15" t="e">
        <f>AND(#REF!,"AAAAAC//u24=")</f>
        <v>#REF!</v>
      </c>
      <c r="DH15" t="e">
        <f>AND(#REF!,"AAAAAC//u28=")</f>
        <v>#REF!</v>
      </c>
      <c r="DI15" t="e">
        <f>IF(#REF!,"AAAAAC//u3A=",0)</f>
        <v>#REF!</v>
      </c>
      <c r="DJ15" t="e">
        <f>AND(#REF!,"AAAAAC//u3E=")</f>
        <v>#REF!</v>
      </c>
      <c r="DK15" t="e">
        <f>AND(#REF!,"AAAAAC//u3I=")</f>
        <v>#REF!</v>
      </c>
      <c r="DL15" t="e">
        <f>IF(#REF!,"AAAAAC//u3M=",0)</f>
        <v>#REF!</v>
      </c>
      <c r="DM15" t="e">
        <f>AND(#REF!,"AAAAAC//u3Q=")</f>
        <v>#REF!</v>
      </c>
      <c r="DN15" t="e">
        <f>AND(#REF!,"AAAAAC//u3U=")</f>
        <v>#REF!</v>
      </c>
      <c r="DO15" t="e">
        <f>IF(#REF!,"AAAAAC//u3Y=",0)</f>
        <v>#REF!</v>
      </c>
      <c r="DP15" t="e">
        <f>AND(#REF!,"AAAAAC//u3c=")</f>
        <v>#REF!</v>
      </c>
      <c r="DQ15" t="e">
        <f>AND(#REF!,"AAAAAC//u3g=")</f>
        <v>#REF!</v>
      </c>
      <c r="DR15" t="e">
        <f>IF(#REF!,"AAAAAC//u3k=",0)</f>
        <v>#REF!</v>
      </c>
      <c r="DS15" t="e">
        <f>AND(#REF!,"AAAAAC//u3o=")</f>
        <v>#REF!</v>
      </c>
      <c r="DT15" t="e">
        <f>AND(#REF!,"AAAAAC//u3s=")</f>
        <v>#REF!</v>
      </c>
      <c r="DU15" t="e">
        <f>IF(#REF!,"AAAAAC//u3w=",0)</f>
        <v>#REF!</v>
      </c>
      <c r="DV15" t="e">
        <f>AND(#REF!,"AAAAAC//u30=")</f>
        <v>#REF!</v>
      </c>
      <c r="DW15" t="e">
        <f>AND(#REF!,"AAAAAC//u34=")</f>
        <v>#REF!</v>
      </c>
      <c r="DX15" t="e">
        <f>IF(#REF!,"AAAAAC//u38=",0)</f>
        <v>#REF!</v>
      </c>
      <c r="DY15" t="e">
        <f>AND(#REF!,"AAAAAC//u4A=")</f>
        <v>#REF!</v>
      </c>
      <c r="DZ15" t="e">
        <f>AND(#REF!,"AAAAAC//u4E=")</f>
        <v>#REF!</v>
      </c>
      <c r="EA15" t="e">
        <f>IF(#REF!,"AAAAAC//u4I=",0)</f>
        <v>#REF!</v>
      </c>
      <c r="EB15" t="e">
        <f>AND(#REF!,"AAAAAC//u4M=")</f>
        <v>#REF!</v>
      </c>
      <c r="EC15" t="e">
        <f>AND(#REF!,"AAAAAC//u4Q=")</f>
        <v>#REF!</v>
      </c>
      <c r="ED15" t="e">
        <f>IF(#REF!,"AAAAAC//u4U=",0)</f>
        <v>#REF!</v>
      </c>
      <c r="EE15" t="e">
        <f>AND(#REF!,"AAAAAC//u4Y=")</f>
        <v>#REF!</v>
      </c>
      <c r="EF15" t="e">
        <f>AND(#REF!,"AAAAAC//u4c=")</f>
        <v>#REF!</v>
      </c>
      <c r="EG15" t="e">
        <f>IF(#REF!,"AAAAAC//u4g=",0)</f>
        <v>#REF!</v>
      </c>
      <c r="EH15" t="e">
        <f>AND(#REF!,"AAAAAC//u4k=")</f>
        <v>#REF!</v>
      </c>
      <c r="EI15" t="e">
        <f>AND(#REF!,"AAAAAC//u4o=")</f>
        <v>#REF!</v>
      </c>
      <c r="EJ15" t="e">
        <f>IF(#REF!,"AAAAAC//u4s=",0)</f>
        <v>#REF!</v>
      </c>
      <c r="EK15" t="e">
        <f>AND(#REF!,"AAAAAC//u4w=")</f>
        <v>#REF!</v>
      </c>
      <c r="EL15" t="e">
        <f>AND(#REF!,"AAAAAC//u40=")</f>
        <v>#REF!</v>
      </c>
      <c r="EM15" t="e">
        <f>IF(#REF!,"AAAAAC//u44=",0)</f>
        <v>#REF!</v>
      </c>
      <c r="EN15" t="e">
        <f>AND(#REF!,"AAAAAC//u48=")</f>
        <v>#REF!</v>
      </c>
      <c r="EO15" t="e">
        <f>AND(#REF!,"AAAAAC//u5A=")</f>
        <v>#REF!</v>
      </c>
      <c r="EP15" t="e">
        <f>IF(#REF!,"AAAAAC//u5E=",0)</f>
        <v>#REF!</v>
      </c>
      <c r="EQ15" t="e">
        <f>AND(#REF!,"AAAAAC//u5I=")</f>
        <v>#REF!</v>
      </c>
      <c r="ER15" t="e">
        <f>AND(#REF!,"AAAAAC//u5M=")</f>
        <v>#REF!</v>
      </c>
      <c r="ES15" t="e">
        <f>IF(#REF!,"AAAAAC//u5Q=",0)</f>
        <v>#REF!</v>
      </c>
      <c r="ET15" t="e">
        <f>AND(#REF!,"AAAAAC//u5U=")</f>
        <v>#REF!</v>
      </c>
      <c r="EU15" t="e">
        <f>AND(#REF!,"AAAAAC//u5Y=")</f>
        <v>#REF!</v>
      </c>
      <c r="EV15" t="e">
        <f>IF(#REF!,"AAAAAC//u5c=",0)</f>
        <v>#REF!</v>
      </c>
      <c r="EW15" t="e">
        <f>AND(#REF!,"AAAAAC//u5g=")</f>
        <v>#REF!</v>
      </c>
      <c r="EX15" t="e">
        <f>AND(#REF!,"AAAAAC//u5k=")</f>
        <v>#REF!</v>
      </c>
      <c r="EY15" t="e">
        <f>IF(#REF!,"AAAAAC//u5o=",0)</f>
        <v>#REF!</v>
      </c>
      <c r="EZ15" t="e">
        <f>AND(#REF!,"AAAAAC//u5s=")</f>
        <v>#REF!</v>
      </c>
      <c r="FA15" t="e">
        <f>AND(#REF!,"AAAAAC//u5w=")</f>
        <v>#REF!</v>
      </c>
      <c r="FB15" t="e">
        <f>IF(#REF!,"AAAAAC//u50=",0)</f>
        <v>#REF!</v>
      </c>
      <c r="FC15" t="e">
        <f>AND(#REF!,"AAAAAC//u54=")</f>
        <v>#REF!</v>
      </c>
      <c r="FD15" t="e">
        <f>AND(#REF!,"AAAAAC//u58=")</f>
        <v>#REF!</v>
      </c>
      <c r="FE15" t="e">
        <f>IF(#REF!,"AAAAAC//u6A=",0)</f>
        <v>#REF!</v>
      </c>
      <c r="FF15" t="e">
        <f>AND(#REF!,"AAAAAC//u6E=")</f>
        <v>#REF!</v>
      </c>
      <c r="FG15" t="e">
        <f>AND(#REF!,"AAAAAC//u6I=")</f>
        <v>#REF!</v>
      </c>
      <c r="FH15" t="e">
        <f>IF(#REF!,"AAAAAC//u6M=",0)</f>
        <v>#REF!</v>
      </c>
      <c r="FI15" t="e">
        <f>AND(#REF!,"AAAAAC//u6Q=")</f>
        <v>#REF!</v>
      </c>
      <c r="FJ15" t="e">
        <f>AND(#REF!,"AAAAAC//u6U=")</f>
        <v>#REF!</v>
      </c>
      <c r="FK15" t="e">
        <f>IF(#REF!,"AAAAAC//u6Y=",0)</f>
        <v>#REF!</v>
      </c>
      <c r="FL15" t="e">
        <f>AND(#REF!,"AAAAAC//u6c=")</f>
        <v>#REF!</v>
      </c>
      <c r="FM15" t="e">
        <f>AND(#REF!,"AAAAAC//u6g=")</f>
        <v>#REF!</v>
      </c>
      <c r="FN15" t="e">
        <f>IF(#REF!,"AAAAAC//u6k=",0)</f>
        <v>#REF!</v>
      </c>
      <c r="FO15" t="e">
        <f>AND(#REF!,"AAAAAC//u6o=")</f>
        <v>#REF!</v>
      </c>
      <c r="FP15" t="e">
        <f>AND(#REF!,"AAAAAC//u6s=")</f>
        <v>#REF!</v>
      </c>
      <c r="FQ15" t="e">
        <f>IF(#REF!,"AAAAAC//u6w=",0)</f>
        <v>#REF!</v>
      </c>
      <c r="FR15" t="e">
        <f>AND(#REF!,"AAAAAC//u60=")</f>
        <v>#REF!</v>
      </c>
      <c r="FS15" t="e">
        <f>AND(#REF!,"AAAAAC//u64=")</f>
        <v>#REF!</v>
      </c>
      <c r="FT15" t="e">
        <f>IF(#REF!,"AAAAAC//u68=",0)</f>
        <v>#REF!</v>
      </c>
      <c r="FU15" t="e">
        <f>AND(#REF!,"AAAAAC//u7A=")</f>
        <v>#REF!</v>
      </c>
      <c r="FV15" t="e">
        <f>AND(#REF!,"AAAAAC//u7E=")</f>
        <v>#REF!</v>
      </c>
      <c r="FW15" t="e">
        <f>IF(#REF!,"AAAAAC//u7I=",0)</f>
        <v>#REF!</v>
      </c>
      <c r="FX15" t="e">
        <f>AND(#REF!,"AAAAAC//u7M=")</f>
        <v>#REF!</v>
      </c>
      <c r="FY15" t="e">
        <f>AND(#REF!,"AAAAAC//u7Q=")</f>
        <v>#REF!</v>
      </c>
      <c r="FZ15" t="e">
        <f>IF(#REF!,"AAAAAC//u7U=",0)</f>
        <v>#REF!</v>
      </c>
      <c r="GA15" t="e">
        <f>AND(#REF!,"AAAAAC//u7Y=")</f>
        <v>#REF!</v>
      </c>
      <c r="GB15" t="e">
        <f>AND(#REF!,"AAAAAC//u7c=")</f>
        <v>#REF!</v>
      </c>
      <c r="GC15" t="e">
        <f>IF(#REF!,"AAAAAC//u7g=",0)</f>
        <v>#REF!</v>
      </c>
      <c r="GD15" t="e">
        <f>AND(#REF!,"AAAAAC//u7k=")</f>
        <v>#REF!</v>
      </c>
      <c r="GE15" t="e">
        <f>AND(#REF!,"AAAAAC//u7o=")</f>
        <v>#REF!</v>
      </c>
      <c r="GF15" t="e">
        <f>IF(#REF!,"AAAAAC//u7s=",0)</f>
        <v>#REF!</v>
      </c>
      <c r="GG15" t="e">
        <f>AND(#REF!,"AAAAAC//u7w=")</f>
        <v>#REF!</v>
      </c>
      <c r="GH15" t="e">
        <f>AND(#REF!,"AAAAAC//u70=")</f>
        <v>#REF!</v>
      </c>
      <c r="GI15" t="e">
        <f>IF(#REF!,"AAAAAC//u74=",0)</f>
        <v>#REF!</v>
      </c>
      <c r="GJ15" t="e">
        <f>AND(#REF!,"AAAAAC//u78=")</f>
        <v>#REF!</v>
      </c>
      <c r="GK15" t="e">
        <f>AND(#REF!,"AAAAAC//u8A=")</f>
        <v>#REF!</v>
      </c>
      <c r="GL15" t="e">
        <f>IF(#REF!,"AAAAAC//u8E=",0)</f>
        <v>#REF!</v>
      </c>
      <c r="GM15" t="e">
        <f>AND(#REF!,"AAAAAC//u8I=")</f>
        <v>#REF!</v>
      </c>
      <c r="GN15" t="e">
        <f>AND(#REF!,"AAAAAC//u8M=")</f>
        <v>#REF!</v>
      </c>
      <c r="GO15" t="e">
        <f>IF(#REF!,"AAAAAC//u8Q=",0)</f>
        <v>#REF!</v>
      </c>
      <c r="GP15" t="e">
        <f>AND(#REF!,"AAAAAC//u8U=")</f>
        <v>#REF!</v>
      </c>
      <c r="GQ15" t="e">
        <f>AND(#REF!,"AAAAAC//u8Y=")</f>
        <v>#REF!</v>
      </c>
      <c r="GR15" t="e">
        <f>IF(#REF!,"AAAAAC//u8c=",0)</f>
        <v>#REF!</v>
      </c>
      <c r="GS15" t="e">
        <f>AND(#REF!,"AAAAAC//u8g=")</f>
        <v>#REF!</v>
      </c>
      <c r="GT15" t="e">
        <f>AND(#REF!,"AAAAAC//u8k=")</f>
        <v>#REF!</v>
      </c>
      <c r="GU15" t="e">
        <f>IF(#REF!,"AAAAAC//u8o=",0)</f>
        <v>#REF!</v>
      </c>
      <c r="GV15" t="e">
        <f>AND(#REF!,"AAAAAC//u8s=")</f>
        <v>#REF!</v>
      </c>
      <c r="GW15" t="e">
        <f>AND(#REF!,"AAAAAC//u8w=")</f>
        <v>#REF!</v>
      </c>
      <c r="GX15" t="e">
        <f>IF(#REF!,"AAAAAC//u80=",0)</f>
        <v>#REF!</v>
      </c>
      <c r="GY15" t="e">
        <f>AND(#REF!,"AAAAAC//u84=")</f>
        <v>#REF!</v>
      </c>
      <c r="GZ15" t="e">
        <f>AND(#REF!,"AAAAAC//u88=")</f>
        <v>#REF!</v>
      </c>
      <c r="HA15" t="e">
        <f>IF(#REF!,"AAAAAC//u9A=",0)</f>
        <v>#REF!</v>
      </c>
      <c r="HB15" t="e">
        <f>AND(#REF!,"AAAAAC//u9E=")</f>
        <v>#REF!</v>
      </c>
      <c r="HC15" t="e">
        <f>AND(#REF!,"AAAAAC//u9I=")</f>
        <v>#REF!</v>
      </c>
      <c r="HD15" t="e">
        <f>IF(#REF!,"AAAAAC//u9M=",0)</f>
        <v>#REF!</v>
      </c>
      <c r="HE15" t="e">
        <f>AND(#REF!,"AAAAAC//u9Q=")</f>
        <v>#REF!</v>
      </c>
      <c r="HF15" t="e">
        <f>AND(#REF!,"AAAAAC//u9U=")</f>
        <v>#REF!</v>
      </c>
      <c r="HG15" t="e">
        <f>IF(#REF!,"AAAAAC//u9Y=",0)</f>
        <v>#REF!</v>
      </c>
      <c r="HH15" t="e">
        <f>AND(#REF!,"AAAAAC//u9c=")</f>
        <v>#REF!</v>
      </c>
      <c r="HI15" t="e">
        <f>AND(#REF!,"AAAAAC//u9g=")</f>
        <v>#REF!</v>
      </c>
      <c r="HJ15" t="e">
        <f>IF(#REF!,"AAAAAC//u9k=",0)</f>
        <v>#REF!</v>
      </c>
      <c r="HK15" t="e">
        <f>AND(#REF!,"AAAAAC//u9o=")</f>
        <v>#REF!</v>
      </c>
      <c r="HL15" t="e">
        <f>AND(#REF!,"AAAAAC//u9s=")</f>
        <v>#REF!</v>
      </c>
      <c r="HM15" t="e">
        <f>IF(#REF!,"AAAAAC//u9w=",0)</f>
        <v>#REF!</v>
      </c>
      <c r="HN15" t="e">
        <f>AND(#REF!,"AAAAAC//u90=")</f>
        <v>#REF!</v>
      </c>
      <c r="HO15" t="e">
        <f>AND(#REF!,"AAAAAC//u94=")</f>
        <v>#REF!</v>
      </c>
      <c r="HP15" t="e">
        <f>IF(#REF!,"AAAAAC//u98=",0)</f>
        <v>#REF!</v>
      </c>
      <c r="HQ15" t="e">
        <f>AND(#REF!,"AAAAAC//u+A=")</f>
        <v>#REF!</v>
      </c>
      <c r="HR15" t="e">
        <f>AND(#REF!,"AAAAAC//u+E=")</f>
        <v>#REF!</v>
      </c>
      <c r="HS15" t="e">
        <f>IF(#REF!,"AAAAAC//u+I=",0)</f>
        <v>#REF!</v>
      </c>
      <c r="HT15" t="e">
        <f>AND(#REF!,"AAAAAC//u+M=")</f>
        <v>#REF!</v>
      </c>
      <c r="HU15" t="e">
        <f>AND(#REF!,"AAAAAC//u+Q=")</f>
        <v>#REF!</v>
      </c>
      <c r="HV15" t="e">
        <f>IF(#REF!,"AAAAAC//u+U=",0)</f>
        <v>#REF!</v>
      </c>
      <c r="HW15" t="e">
        <f>AND(#REF!,"AAAAAC//u+Y=")</f>
        <v>#REF!</v>
      </c>
      <c r="HX15" t="e">
        <f>AND(#REF!,"AAAAAC//u+c=")</f>
        <v>#REF!</v>
      </c>
      <c r="HY15" t="e">
        <f>IF(#REF!,"AAAAAC//u+g=",0)</f>
        <v>#REF!</v>
      </c>
      <c r="HZ15" t="e">
        <f>AND(#REF!,"AAAAAC//u+k=")</f>
        <v>#REF!</v>
      </c>
      <c r="IA15" t="e">
        <f>AND(#REF!,"AAAAAC//u+o=")</f>
        <v>#REF!</v>
      </c>
      <c r="IB15" t="e">
        <f>IF(#REF!,"AAAAAC//u+s=",0)</f>
        <v>#REF!</v>
      </c>
      <c r="IC15" t="e">
        <f>AND(#REF!,"AAAAAC//u+w=")</f>
        <v>#REF!</v>
      </c>
      <c r="ID15" t="e">
        <f>AND(#REF!,"AAAAAC//u+0=")</f>
        <v>#REF!</v>
      </c>
      <c r="IE15" t="e">
        <f>IF(#REF!,"AAAAAC//u+4=",0)</f>
        <v>#REF!</v>
      </c>
      <c r="IF15" t="e">
        <f>AND(#REF!,"AAAAAC//u+8=")</f>
        <v>#REF!</v>
      </c>
      <c r="IG15" t="e">
        <f>AND(#REF!,"AAAAAC//u/A=")</f>
        <v>#REF!</v>
      </c>
      <c r="IH15" t="e">
        <f>IF(#REF!,"AAAAAC//u/E=",0)</f>
        <v>#REF!</v>
      </c>
      <c r="II15" t="e">
        <f>AND(#REF!,"AAAAAC//u/I=")</f>
        <v>#REF!</v>
      </c>
      <c r="IJ15" t="e">
        <f>AND(#REF!,"AAAAAC//u/M=")</f>
        <v>#REF!</v>
      </c>
      <c r="IK15" t="e">
        <f>IF(#REF!,"AAAAAC//u/Q=",0)</f>
        <v>#REF!</v>
      </c>
      <c r="IL15" t="e">
        <f>AND(#REF!,"AAAAAC//u/U=")</f>
        <v>#REF!</v>
      </c>
      <c r="IM15" t="e">
        <f>AND(#REF!,"AAAAAC//u/Y=")</f>
        <v>#REF!</v>
      </c>
      <c r="IN15" t="e">
        <f>IF(#REF!,"AAAAAC//u/c=",0)</f>
        <v>#REF!</v>
      </c>
      <c r="IO15" t="e">
        <f>AND(#REF!,"AAAAAC//u/g=")</f>
        <v>#REF!</v>
      </c>
      <c r="IP15" t="e">
        <f>AND(#REF!,"AAAAAC//u/k=")</f>
        <v>#REF!</v>
      </c>
      <c r="IQ15" t="e">
        <f>IF(#REF!,"AAAAAC//u/o=",0)</f>
        <v>#REF!</v>
      </c>
      <c r="IR15" t="e">
        <f>AND(#REF!,"AAAAAC//u/s=")</f>
        <v>#REF!</v>
      </c>
      <c r="IS15" t="e">
        <f>AND(#REF!,"AAAAAC//u/w=")</f>
        <v>#REF!</v>
      </c>
      <c r="IT15" t="e">
        <f>IF(#REF!,"AAAAAC//u/0=",0)</f>
        <v>#REF!</v>
      </c>
      <c r="IU15" t="e">
        <f>AND(#REF!,"AAAAAC//u/4=")</f>
        <v>#REF!</v>
      </c>
      <c r="IV15" t="e">
        <f>AND(#REF!,"AAAAAC//u/8=")</f>
        <v>#REF!</v>
      </c>
    </row>
    <row r="16" spans="1:256" x14ac:dyDescent="0.3">
      <c r="A16" t="e">
        <f>IF(#REF!,"AAAAAHfe/wA=",0)</f>
        <v>#REF!</v>
      </c>
      <c r="B16" t="e">
        <f>AND(#REF!,"AAAAAHfe/wE=")</f>
        <v>#REF!</v>
      </c>
      <c r="C16" t="e">
        <f>AND(#REF!,"AAAAAHfe/wI=")</f>
        <v>#REF!</v>
      </c>
      <c r="D16" t="e">
        <f>IF(#REF!,"AAAAAHfe/wM=",0)</f>
        <v>#REF!</v>
      </c>
      <c r="E16" t="e">
        <f>AND(#REF!,"AAAAAHfe/wQ=")</f>
        <v>#REF!</v>
      </c>
      <c r="F16" t="e">
        <f>AND(#REF!,"AAAAAHfe/wU=")</f>
        <v>#REF!</v>
      </c>
      <c r="G16" t="e">
        <f>IF(#REF!,"AAAAAHfe/wY=",0)</f>
        <v>#REF!</v>
      </c>
      <c r="H16" t="e">
        <f>AND(#REF!,"AAAAAHfe/wc=")</f>
        <v>#REF!</v>
      </c>
      <c r="I16" t="e">
        <f>AND(#REF!,"AAAAAHfe/wg=")</f>
        <v>#REF!</v>
      </c>
      <c r="J16" t="e">
        <f>IF(#REF!,"AAAAAHfe/wk=",0)</f>
        <v>#REF!</v>
      </c>
      <c r="K16" t="e">
        <f>AND(#REF!,"AAAAAHfe/wo=")</f>
        <v>#REF!</v>
      </c>
      <c r="L16" t="e">
        <f>AND(#REF!,"AAAAAHfe/ws=")</f>
        <v>#REF!</v>
      </c>
      <c r="M16" t="e">
        <f>IF(#REF!,"AAAAAHfe/ww=",0)</f>
        <v>#REF!</v>
      </c>
      <c r="N16" t="e">
        <f>AND(#REF!,"AAAAAHfe/w0=")</f>
        <v>#REF!</v>
      </c>
      <c r="O16" t="e">
        <f>AND(#REF!,"AAAAAHfe/w4=")</f>
        <v>#REF!</v>
      </c>
      <c r="P16" t="e">
        <f>IF(#REF!,"AAAAAHfe/w8=",0)</f>
        <v>#REF!</v>
      </c>
      <c r="Q16" t="e">
        <f>AND(#REF!,"AAAAAHfe/xA=")</f>
        <v>#REF!</v>
      </c>
      <c r="R16" t="e">
        <f>AND(#REF!,"AAAAAHfe/xE=")</f>
        <v>#REF!</v>
      </c>
      <c r="S16" t="e">
        <f>IF(#REF!,"AAAAAHfe/xI=",0)</f>
        <v>#REF!</v>
      </c>
      <c r="T16" t="e">
        <f>AND(#REF!,"AAAAAHfe/xM=")</f>
        <v>#REF!</v>
      </c>
      <c r="U16" t="e">
        <f>AND(#REF!,"AAAAAHfe/xQ=")</f>
        <v>#REF!</v>
      </c>
      <c r="V16" t="e">
        <f>IF(#REF!,"AAAAAHfe/xU=",0)</f>
        <v>#REF!</v>
      </c>
      <c r="W16" t="e">
        <f>AND(#REF!,"AAAAAHfe/xY=")</f>
        <v>#REF!</v>
      </c>
      <c r="X16" t="e">
        <f>AND(#REF!,"AAAAAHfe/xc=")</f>
        <v>#REF!</v>
      </c>
      <c r="Y16" t="e">
        <f>IF(#REF!,"AAAAAHfe/xg=",0)</f>
        <v>#REF!</v>
      </c>
      <c r="Z16" t="e">
        <f>AND(#REF!,"AAAAAHfe/xk=")</f>
        <v>#REF!</v>
      </c>
      <c r="AA16" t="e">
        <f>AND(#REF!,"AAAAAHfe/xo=")</f>
        <v>#REF!</v>
      </c>
      <c r="AB16" t="e">
        <f>IF(#REF!,"AAAAAHfe/xs=",0)</f>
        <v>#REF!</v>
      </c>
      <c r="AC16" t="e">
        <f>AND(#REF!,"AAAAAHfe/xw=")</f>
        <v>#REF!</v>
      </c>
      <c r="AD16" t="e">
        <f>AND(#REF!,"AAAAAHfe/x0=")</f>
        <v>#REF!</v>
      </c>
      <c r="AE16" t="e">
        <f>IF(#REF!,"AAAAAHfe/x4=",0)</f>
        <v>#REF!</v>
      </c>
      <c r="AF16" t="e">
        <f>AND(#REF!,"AAAAAHfe/x8=")</f>
        <v>#REF!</v>
      </c>
      <c r="AG16" t="e">
        <f>AND(#REF!,"AAAAAHfe/yA=")</f>
        <v>#REF!</v>
      </c>
      <c r="AH16" t="e">
        <f>IF(#REF!,"AAAAAHfe/yE=",0)</f>
        <v>#REF!</v>
      </c>
      <c r="AI16" t="e">
        <f>AND(#REF!,"AAAAAHfe/yI=")</f>
        <v>#REF!</v>
      </c>
      <c r="AJ16" t="e">
        <f>AND(#REF!,"AAAAAHfe/yM=")</f>
        <v>#REF!</v>
      </c>
      <c r="AK16" t="e">
        <f>IF(#REF!,"AAAAAHfe/yQ=",0)</f>
        <v>#REF!</v>
      </c>
      <c r="AL16" t="e">
        <f>AND(#REF!,"AAAAAHfe/yU=")</f>
        <v>#REF!</v>
      </c>
      <c r="AM16" t="e">
        <f>AND(#REF!,"AAAAAHfe/yY=")</f>
        <v>#REF!</v>
      </c>
      <c r="AN16" t="e">
        <f>IF(#REF!,"AAAAAHfe/yc=",0)</f>
        <v>#REF!</v>
      </c>
      <c r="AO16" t="e">
        <f>AND(#REF!,"AAAAAHfe/yg=")</f>
        <v>#REF!</v>
      </c>
      <c r="AP16" t="e">
        <f>AND(#REF!,"AAAAAHfe/yk=")</f>
        <v>#REF!</v>
      </c>
      <c r="AQ16" t="e">
        <f>IF(#REF!,"AAAAAHfe/yo=",0)</f>
        <v>#REF!</v>
      </c>
      <c r="AR16" t="e">
        <f>AND(#REF!,"AAAAAHfe/ys=")</f>
        <v>#REF!</v>
      </c>
      <c r="AS16" t="e">
        <f>AND(#REF!,"AAAAAHfe/yw=")</f>
        <v>#REF!</v>
      </c>
      <c r="AT16" t="e">
        <f>IF(#REF!,"AAAAAHfe/y0=",0)</f>
        <v>#REF!</v>
      </c>
      <c r="AU16" t="e">
        <f>AND(#REF!,"AAAAAHfe/y4=")</f>
        <v>#REF!</v>
      </c>
      <c r="AV16" t="e">
        <f>AND(#REF!,"AAAAAHfe/y8=")</f>
        <v>#REF!</v>
      </c>
      <c r="AW16" t="e">
        <f>IF(#REF!,"AAAAAHfe/zA=",0)</f>
        <v>#REF!</v>
      </c>
      <c r="AX16" t="e">
        <f>AND(#REF!,"AAAAAHfe/zE=")</f>
        <v>#REF!</v>
      </c>
      <c r="AY16" t="e">
        <f>AND(#REF!,"AAAAAHfe/zI=")</f>
        <v>#REF!</v>
      </c>
      <c r="AZ16" t="e">
        <f>IF(#REF!,"AAAAAHfe/zM=",0)</f>
        <v>#REF!</v>
      </c>
      <c r="BA16" t="e">
        <f>AND(#REF!,"AAAAAHfe/zQ=")</f>
        <v>#REF!</v>
      </c>
      <c r="BB16" t="e">
        <f>AND(#REF!,"AAAAAHfe/zU=")</f>
        <v>#REF!</v>
      </c>
      <c r="BC16" t="e">
        <f>IF(#REF!,"AAAAAHfe/zY=",0)</f>
        <v>#REF!</v>
      </c>
      <c r="BD16" t="e">
        <f>IF(#REF!,"AAAAAHfe/zc=",0)</f>
        <v>#REF!</v>
      </c>
      <c r="BE16">
        <f>IF(Óskir!1:1,"AAAAAHfe/zg=",0)</f>
        <v>0</v>
      </c>
      <c r="BF16" t="e">
        <f>AND(Óskir!#REF!,"AAAAAHfe/zk=")</f>
        <v>#REF!</v>
      </c>
      <c r="BG16" t="e">
        <f>AND(Óskir!#REF!,"AAAAAHfe/zo=")</f>
        <v>#REF!</v>
      </c>
      <c r="BH16" t="e">
        <f>AND(Óskir!A1,"AAAAAHfe/zs=")</f>
        <v>#VALUE!</v>
      </c>
      <c r="BI16">
        <f>IF(Óskir!2:2,"AAAAAHfe/zw=",0)</f>
        <v>0</v>
      </c>
      <c r="BJ16" t="e">
        <f>AND(Óskir!#REF!,"AAAAAHfe/z0=")</f>
        <v>#REF!</v>
      </c>
      <c r="BK16" t="e">
        <f>AND(Óskir!#REF!,"AAAAAHfe/z4=")</f>
        <v>#REF!</v>
      </c>
      <c r="BL16" t="e">
        <f>AND(Óskir!A2,"AAAAAHfe/z8=")</f>
        <v>#VALUE!</v>
      </c>
      <c r="BM16">
        <f>IF(Óskir!3:3,"AAAAAHfe/0A=",0)</f>
        <v>0</v>
      </c>
      <c r="BN16" t="e">
        <f>AND(Óskir!#REF!,"AAAAAHfe/0E=")</f>
        <v>#REF!</v>
      </c>
      <c r="BO16" t="e">
        <f>AND(Óskir!#REF!,"AAAAAHfe/0I=")</f>
        <v>#REF!</v>
      </c>
      <c r="BP16" t="e">
        <f>AND(Óskir!A3,"AAAAAHfe/0M=")</f>
        <v>#VALUE!</v>
      </c>
      <c r="BQ16">
        <f>IF(Óskir!4:4,"AAAAAHfe/0Q=",0)</f>
        <v>0</v>
      </c>
      <c r="BR16" t="e">
        <f>AND(Óskir!#REF!,"AAAAAHfe/0U=")</f>
        <v>#REF!</v>
      </c>
      <c r="BS16" t="e">
        <f>AND(Óskir!#REF!,"AAAAAHfe/0Y=")</f>
        <v>#REF!</v>
      </c>
      <c r="BT16" t="e">
        <f>AND(Óskir!A4,"AAAAAHfe/0c=")</f>
        <v>#VALUE!</v>
      </c>
      <c r="BU16">
        <f>IF(Óskir!5:5,"AAAAAHfe/0g=",0)</f>
        <v>0</v>
      </c>
      <c r="BV16" t="e">
        <f>AND(Óskir!#REF!,"AAAAAHfe/0k=")</f>
        <v>#REF!</v>
      </c>
      <c r="BW16" t="e">
        <f>AND(Óskir!#REF!,"AAAAAHfe/0o=")</f>
        <v>#REF!</v>
      </c>
      <c r="BX16" t="e">
        <f>AND(Óskir!A5,"AAAAAHfe/0s=")</f>
        <v>#VALUE!</v>
      </c>
      <c r="BY16">
        <f>IF(Óskir!6:6,"AAAAAHfe/0w=",0)</f>
        <v>0</v>
      </c>
      <c r="BZ16" t="e">
        <f>AND(Óskir!#REF!,"AAAAAHfe/00=")</f>
        <v>#REF!</v>
      </c>
      <c r="CA16" t="e">
        <f>AND(Óskir!#REF!,"AAAAAHfe/04=")</f>
        <v>#REF!</v>
      </c>
      <c r="CB16" t="e">
        <f>AND(Óskir!A6,"AAAAAHfe/08=")</f>
        <v>#VALUE!</v>
      </c>
      <c r="CC16">
        <f>IF(Óskir!7:7,"AAAAAHfe/1A=",0)</f>
        <v>0</v>
      </c>
      <c r="CD16" t="e">
        <f>AND(Óskir!#REF!,"AAAAAHfe/1E=")</f>
        <v>#REF!</v>
      </c>
      <c r="CE16" t="e">
        <f>AND(Óskir!#REF!,"AAAAAHfe/1I=")</f>
        <v>#REF!</v>
      </c>
      <c r="CF16" t="e">
        <f>AND(Óskir!A7,"AAAAAHfe/1M=")</f>
        <v>#VALUE!</v>
      </c>
      <c r="CG16">
        <f>IF(Óskir!8:8,"AAAAAHfe/1Q=",0)</f>
        <v>0</v>
      </c>
      <c r="CH16" t="e">
        <f>AND(Óskir!#REF!,"AAAAAHfe/1U=")</f>
        <v>#REF!</v>
      </c>
      <c r="CI16" t="e">
        <f>AND(Óskir!#REF!,"AAAAAHfe/1Y=")</f>
        <v>#REF!</v>
      </c>
      <c r="CJ16" t="e">
        <f>AND(Óskir!A8,"AAAAAHfe/1c=")</f>
        <v>#VALUE!</v>
      </c>
      <c r="CK16">
        <f>IF(Óskir!9:9,"AAAAAHfe/1g=",0)</f>
        <v>0</v>
      </c>
      <c r="CL16" t="e">
        <f>AND(Óskir!#REF!,"AAAAAHfe/1k=")</f>
        <v>#REF!</v>
      </c>
      <c r="CM16" t="e">
        <f>AND(Óskir!#REF!,"AAAAAHfe/1o=")</f>
        <v>#REF!</v>
      </c>
      <c r="CN16" t="e">
        <f>AND(Óskir!A9,"AAAAAHfe/1s=")</f>
        <v>#VALUE!</v>
      </c>
      <c r="CO16">
        <f>IF(Óskir!10:10,"AAAAAHfe/1w=",0)</f>
        <v>0</v>
      </c>
      <c r="CP16" t="e">
        <f>AND(Óskir!#REF!,"AAAAAHfe/10=")</f>
        <v>#REF!</v>
      </c>
      <c r="CQ16" t="e">
        <f>AND(Óskir!#REF!,"AAAAAHfe/14=")</f>
        <v>#REF!</v>
      </c>
      <c r="CR16" t="e">
        <f>AND(Óskir!A10,"AAAAAHfe/18=")</f>
        <v>#VALUE!</v>
      </c>
      <c r="CS16">
        <f>IF(Óskir!11:11,"AAAAAHfe/2A=",0)</f>
        <v>0</v>
      </c>
      <c r="CT16" t="e">
        <f>AND(Óskir!#REF!,"AAAAAHfe/2E=")</f>
        <v>#REF!</v>
      </c>
      <c r="CU16" t="e">
        <f>AND(Óskir!#REF!,"AAAAAHfe/2I=")</f>
        <v>#REF!</v>
      </c>
      <c r="CV16" t="e">
        <f>AND(Óskir!A11,"AAAAAHfe/2M=")</f>
        <v>#VALUE!</v>
      </c>
      <c r="CW16">
        <f>IF(Óskir!12:12,"AAAAAHfe/2Q=",0)</f>
        <v>0</v>
      </c>
      <c r="CX16" t="e">
        <f>AND(Óskir!#REF!,"AAAAAHfe/2U=")</f>
        <v>#REF!</v>
      </c>
      <c r="CY16" t="e">
        <f>AND(Óskir!#REF!,"AAAAAHfe/2Y=")</f>
        <v>#REF!</v>
      </c>
      <c r="CZ16" t="e">
        <f>AND(Óskir!A12,"AAAAAHfe/2c=")</f>
        <v>#VALUE!</v>
      </c>
      <c r="DA16">
        <f>IF(Óskir!13:13,"AAAAAHfe/2g=",0)</f>
        <v>0</v>
      </c>
      <c r="DB16" t="e">
        <f>AND(Óskir!#REF!,"AAAAAHfe/2k=")</f>
        <v>#REF!</v>
      </c>
      <c r="DC16" t="e">
        <f>AND(Óskir!#REF!,"AAAAAHfe/2o=")</f>
        <v>#REF!</v>
      </c>
      <c r="DD16" t="e">
        <f>AND(Óskir!A13,"AAAAAHfe/2s=")</f>
        <v>#VALUE!</v>
      </c>
      <c r="DE16">
        <f>IF(Óskir!14:14,"AAAAAHfe/2w=",0)</f>
        <v>0</v>
      </c>
      <c r="DF16" t="e">
        <f>AND(Óskir!#REF!,"AAAAAHfe/20=")</f>
        <v>#REF!</v>
      </c>
      <c r="DG16" t="e">
        <f>AND(Óskir!#REF!,"AAAAAHfe/24=")</f>
        <v>#REF!</v>
      </c>
      <c r="DH16" t="e">
        <f>AND(Óskir!A14,"AAAAAHfe/28=")</f>
        <v>#VALUE!</v>
      </c>
      <c r="DI16">
        <f>IF(Óskir!15:15,"AAAAAHfe/3A=",0)</f>
        <v>0</v>
      </c>
      <c r="DJ16" t="e">
        <f>AND(Óskir!#REF!,"AAAAAHfe/3E=")</f>
        <v>#REF!</v>
      </c>
      <c r="DK16" t="e">
        <f>AND(Óskir!#REF!,"AAAAAHfe/3I=")</f>
        <v>#REF!</v>
      </c>
      <c r="DL16" t="e">
        <f>AND(Óskir!A15,"AAAAAHfe/3M=")</f>
        <v>#VALUE!</v>
      </c>
      <c r="DM16">
        <f>IF(Óskir!16:16,"AAAAAHfe/3Q=",0)</f>
        <v>0</v>
      </c>
      <c r="DN16" t="e">
        <f>AND(Óskir!#REF!,"AAAAAHfe/3U=")</f>
        <v>#REF!</v>
      </c>
      <c r="DO16" t="e">
        <f>AND(Óskir!#REF!,"AAAAAHfe/3Y=")</f>
        <v>#REF!</v>
      </c>
      <c r="DP16" t="e">
        <f>AND(Óskir!A16,"AAAAAHfe/3c=")</f>
        <v>#VALUE!</v>
      </c>
      <c r="DQ16">
        <f>IF(Óskir!17:17,"AAAAAHfe/3g=",0)</f>
        <v>0</v>
      </c>
      <c r="DR16" t="e">
        <f>AND(Óskir!#REF!,"AAAAAHfe/3k=")</f>
        <v>#REF!</v>
      </c>
      <c r="DS16" t="e">
        <f>AND(Óskir!#REF!,"AAAAAHfe/3o=")</f>
        <v>#REF!</v>
      </c>
      <c r="DT16" t="e">
        <f>AND(Óskir!A17,"AAAAAHfe/3s=")</f>
        <v>#VALUE!</v>
      </c>
      <c r="DU16">
        <f>IF(Óskir!18:18,"AAAAAHfe/3w=",0)</f>
        <v>0</v>
      </c>
      <c r="DV16" t="e">
        <f>AND(Óskir!#REF!,"AAAAAHfe/30=")</f>
        <v>#REF!</v>
      </c>
      <c r="DW16" t="e">
        <f>AND(Óskir!#REF!,"AAAAAHfe/34=")</f>
        <v>#REF!</v>
      </c>
      <c r="DX16" t="e">
        <f>AND(Óskir!A18,"AAAAAHfe/38=")</f>
        <v>#VALUE!</v>
      </c>
      <c r="DY16">
        <f>IF(Óskir!19:19,"AAAAAHfe/4A=",0)</f>
        <v>0</v>
      </c>
      <c r="DZ16" t="e">
        <f>AND(Óskir!#REF!,"AAAAAHfe/4E=")</f>
        <v>#REF!</v>
      </c>
      <c r="EA16" t="e">
        <f>AND(Óskir!#REF!,"AAAAAHfe/4I=")</f>
        <v>#REF!</v>
      </c>
      <c r="EB16" t="e">
        <f>AND(Óskir!A19,"AAAAAHfe/4M=")</f>
        <v>#VALUE!</v>
      </c>
      <c r="EC16">
        <f>IF(Óskir!20:20,"AAAAAHfe/4Q=",0)</f>
        <v>0</v>
      </c>
      <c r="ED16" t="e">
        <f>AND(Óskir!#REF!,"AAAAAHfe/4U=")</f>
        <v>#REF!</v>
      </c>
      <c r="EE16" t="e">
        <f>AND(Óskir!#REF!,"AAAAAHfe/4Y=")</f>
        <v>#REF!</v>
      </c>
      <c r="EF16" t="e">
        <f>AND(Óskir!A20,"AAAAAHfe/4c=")</f>
        <v>#VALUE!</v>
      </c>
      <c r="EG16">
        <f>IF(Óskir!21:21,"AAAAAHfe/4g=",0)</f>
        <v>0</v>
      </c>
      <c r="EH16" t="e">
        <f>AND(Óskir!#REF!,"AAAAAHfe/4k=")</f>
        <v>#REF!</v>
      </c>
      <c r="EI16" t="e">
        <f>AND(Óskir!#REF!,"AAAAAHfe/4o=")</f>
        <v>#REF!</v>
      </c>
      <c r="EJ16" t="e">
        <f>AND(Óskir!A21,"AAAAAHfe/4s=")</f>
        <v>#VALUE!</v>
      </c>
      <c r="EK16">
        <f>IF(Óskir!22:22,"AAAAAHfe/4w=",0)</f>
        <v>0</v>
      </c>
      <c r="EL16" t="e">
        <f>AND(Óskir!#REF!,"AAAAAHfe/40=")</f>
        <v>#REF!</v>
      </c>
      <c r="EM16" t="e">
        <f>AND(Óskir!#REF!,"AAAAAHfe/44=")</f>
        <v>#REF!</v>
      </c>
      <c r="EN16" t="e">
        <f>AND(Óskir!A22,"AAAAAHfe/48=")</f>
        <v>#VALUE!</v>
      </c>
      <c r="EO16">
        <f>IF(Óskir!23:23,"AAAAAHfe/5A=",0)</f>
        <v>0</v>
      </c>
      <c r="EP16" t="e">
        <f>AND(Óskir!#REF!,"AAAAAHfe/5E=")</f>
        <v>#REF!</v>
      </c>
      <c r="EQ16" t="e">
        <f>AND(Óskir!#REF!,"AAAAAHfe/5I=")</f>
        <v>#REF!</v>
      </c>
      <c r="ER16" t="e">
        <f>AND(Óskir!A23,"AAAAAHfe/5M=")</f>
        <v>#VALUE!</v>
      </c>
      <c r="ES16">
        <f>IF(Óskir!24:24,"AAAAAHfe/5Q=",0)</f>
        <v>0</v>
      </c>
      <c r="ET16" t="e">
        <f>AND(Óskir!#REF!,"AAAAAHfe/5U=")</f>
        <v>#REF!</v>
      </c>
      <c r="EU16" t="e">
        <f>AND(Óskir!#REF!,"AAAAAHfe/5Y=")</f>
        <v>#REF!</v>
      </c>
      <c r="EV16" t="e">
        <f>AND(Óskir!A24,"AAAAAHfe/5c=")</f>
        <v>#VALUE!</v>
      </c>
      <c r="EW16">
        <f>IF(Óskir!28:28,"AAAAAHfe/5g=",0)</f>
        <v>0</v>
      </c>
      <c r="EX16" t="e">
        <f>AND(Óskir!#REF!,"AAAAAHfe/5k=")</f>
        <v>#REF!</v>
      </c>
      <c r="EY16" t="e">
        <f>AND(Óskir!#REF!,"AAAAAHfe/5o=")</f>
        <v>#REF!</v>
      </c>
      <c r="EZ16" t="e">
        <f>AND(Óskir!A28,"AAAAAHfe/5s=")</f>
        <v>#VALUE!</v>
      </c>
      <c r="FA16">
        <f>IF(Óskir!30:30,"AAAAAHfe/5w=",0)</f>
        <v>0</v>
      </c>
      <c r="FB16" t="e">
        <f>AND(Óskir!#REF!,"AAAAAHfe/50=")</f>
        <v>#REF!</v>
      </c>
      <c r="FC16" t="e">
        <f>AND(Óskir!#REF!,"AAAAAHfe/54=")</f>
        <v>#REF!</v>
      </c>
      <c r="FD16" t="e">
        <f>AND(Óskir!A30,"AAAAAHfe/58=")</f>
        <v>#VALUE!</v>
      </c>
      <c r="FE16">
        <f>IF(Óskir!31:31,"AAAAAHfe/6A=",0)</f>
        <v>0</v>
      </c>
      <c r="FF16" t="e">
        <f>AND(Óskir!#REF!,"AAAAAHfe/6E=")</f>
        <v>#REF!</v>
      </c>
      <c r="FG16" t="e">
        <f>AND(Óskir!#REF!,"AAAAAHfe/6I=")</f>
        <v>#REF!</v>
      </c>
      <c r="FH16" t="e">
        <f>AND(Óskir!A31,"AAAAAHfe/6M=")</f>
        <v>#VALUE!</v>
      </c>
      <c r="FI16">
        <f>IF(Óskir!32:32,"AAAAAHfe/6Q=",0)</f>
        <v>0</v>
      </c>
      <c r="FJ16" t="e">
        <f>AND(Óskir!#REF!,"AAAAAHfe/6U=")</f>
        <v>#REF!</v>
      </c>
      <c r="FK16" t="e">
        <f>AND(Óskir!#REF!,"AAAAAHfe/6Y=")</f>
        <v>#REF!</v>
      </c>
      <c r="FL16" t="e">
        <f>AND(Óskir!A32,"AAAAAHfe/6c=")</f>
        <v>#VALUE!</v>
      </c>
      <c r="FM16">
        <f>IF(Óskir!33:33,"AAAAAHfe/6g=",0)</f>
        <v>0</v>
      </c>
      <c r="FN16" t="e">
        <f>AND(Óskir!#REF!,"AAAAAHfe/6k=")</f>
        <v>#REF!</v>
      </c>
      <c r="FO16" t="e">
        <f>AND(Óskir!#REF!,"AAAAAHfe/6o=")</f>
        <v>#REF!</v>
      </c>
      <c r="FP16" t="e">
        <f>AND(Óskir!A33,"AAAAAHfe/6s=")</f>
        <v>#VALUE!</v>
      </c>
      <c r="FQ16">
        <f>IF(Óskir!34:34,"AAAAAHfe/6w=",0)</f>
        <v>0</v>
      </c>
      <c r="FR16" t="e">
        <f>AND(Óskir!#REF!,"AAAAAHfe/60=")</f>
        <v>#REF!</v>
      </c>
      <c r="FS16" t="e">
        <f>AND(Óskir!#REF!,"AAAAAHfe/64=")</f>
        <v>#REF!</v>
      </c>
      <c r="FT16" t="e">
        <f>AND(Óskir!A34,"AAAAAHfe/68=")</f>
        <v>#VALUE!</v>
      </c>
      <c r="FU16">
        <f>IF(Óskir!35:35,"AAAAAHfe/7A=",0)</f>
        <v>0</v>
      </c>
      <c r="FV16" t="e">
        <f>AND(Óskir!#REF!,"AAAAAHfe/7E=")</f>
        <v>#REF!</v>
      </c>
      <c r="FW16" t="e">
        <f>AND(Óskir!#REF!,"AAAAAHfe/7I=")</f>
        <v>#REF!</v>
      </c>
      <c r="FX16" t="e">
        <f>AND(Óskir!A35,"AAAAAHfe/7M=")</f>
        <v>#VALUE!</v>
      </c>
      <c r="FY16">
        <f>IF(Óskir!36:36,"AAAAAHfe/7Q=",0)</f>
        <v>0</v>
      </c>
      <c r="FZ16" t="e">
        <f>AND(Óskir!#REF!,"AAAAAHfe/7U=")</f>
        <v>#REF!</v>
      </c>
      <c r="GA16" t="e">
        <f>AND(Óskir!#REF!,"AAAAAHfe/7Y=")</f>
        <v>#REF!</v>
      </c>
      <c r="GB16" t="e">
        <f>AND(Óskir!A36,"AAAAAHfe/7c=")</f>
        <v>#VALUE!</v>
      </c>
      <c r="GC16">
        <f>IF(Óskir!37:37,"AAAAAHfe/7g=",0)</f>
        <v>0</v>
      </c>
      <c r="GD16" t="e">
        <f>AND(Óskir!#REF!,"AAAAAHfe/7k=")</f>
        <v>#REF!</v>
      </c>
      <c r="GE16" t="e">
        <f>AND(Óskir!#REF!,"AAAAAHfe/7o=")</f>
        <v>#REF!</v>
      </c>
      <c r="GF16" t="e">
        <f>AND(Óskir!A37,"AAAAAHfe/7s=")</f>
        <v>#VALUE!</v>
      </c>
      <c r="GG16">
        <f>IF(Óskir!38:38,"AAAAAHfe/7w=",0)</f>
        <v>0</v>
      </c>
      <c r="GH16" t="e">
        <f>AND(Óskir!#REF!,"AAAAAHfe/70=")</f>
        <v>#REF!</v>
      </c>
      <c r="GI16" t="e">
        <f>AND(Óskir!#REF!,"AAAAAHfe/74=")</f>
        <v>#REF!</v>
      </c>
      <c r="GJ16" t="e">
        <f>AND(Óskir!A38,"AAAAAHfe/78=")</f>
        <v>#VALUE!</v>
      </c>
      <c r="GK16">
        <f>IF(Óskir!39:39,"AAAAAHfe/8A=",0)</f>
        <v>0</v>
      </c>
      <c r="GL16" t="e">
        <f>AND(Óskir!#REF!,"AAAAAHfe/8E=")</f>
        <v>#REF!</v>
      </c>
      <c r="GM16" t="e">
        <f>AND(Óskir!#REF!,"AAAAAHfe/8I=")</f>
        <v>#REF!</v>
      </c>
      <c r="GN16" t="e">
        <f>AND(Óskir!A39,"AAAAAHfe/8M=")</f>
        <v>#VALUE!</v>
      </c>
      <c r="GO16">
        <f>IF(Óskir!40:40,"AAAAAHfe/8Q=",0)</f>
        <v>0</v>
      </c>
      <c r="GP16" t="e">
        <f>AND(Óskir!#REF!,"AAAAAHfe/8U=")</f>
        <v>#REF!</v>
      </c>
      <c r="GQ16" t="e">
        <f>AND(Óskir!#REF!,"AAAAAHfe/8Y=")</f>
        <v>#REF!</v>
      </c>
      <c r="GR16" t="e">
        <f>AND(Óskir!A40,"AAAAAHfe/8c=")</f>
        <v>#VALUE!</v>
      </c>
      <c r="GS16">
        <f>IF(Óskir!41:41,"AAAAAHfe/8g=",0)</f>
        <v>0</v>
      </c>
      <c r="GT16" t="e">
        <f>AND(Óskir!#REF!,"AAAAAHfe/8k=")</f>
        <v>#REF!</v>
      </c>
      <c r="GU16" t="e">
        <f>AND(Óskir!#REF!,"AAAAAHfe/8o=")</f>
        <v>#REF!</v>
      </c>
      <c r="GV16" t="e">
        <f>AND(Óskir!A41,"AAAAAHfe/8s=")</f>
        <v>#VALUE!</v>
      </c>
      <c r="GW16">
        <f>IF(Óskir!42:42,"AAAAAHfe/8w=",0)</f>
        <v>0</v>
      </c>
      <c r="GX16" t="e">
        <f>AND(Óskir!#REF!,"AAAAAHfe/80=")</f>
        <v>#REF!</v>
      </c>
      <c r="GY16" t="e">
        <f>AND(Óskir!#REF!,"AAAAAHfe/84=")</f>
        <v>#REF!</v>
      </c>
      <c r="GZ16" t="e">
        <f>AND(Óskir!A42,"AAAAAHfe/88=")</f>
        <v>#VALUE!</v>
      </c>
      <c r="HA16">
        <f>IF(Óskir!43:43,"AAAAAHfe/9A=",0)</f>
        <v>0</v>
      </c>
      <c r="HB16" t="e">
        <f>AND(Óskir!#REF!,"AAAAAHfe/9E=")</f>
        <v>#REF!</v>
      </c>
      <c r="HC16" t="e">
        <f>AND(Óskir!#REF!,"AAAAAHfe/9I=")</f>
        <v>#REF!</v>
      </c>
      <c r="HD16" t="e">
        <f>AND(Óskir!A43,"AAAAAHfe/9M=")</f>
        <v>#VALUE!</v>
      </c>
      <c r="HE16">
        <f>IF(Óskir!44:44,"AAAAAHfe/9Q=",0)</f>
        <v>0</v>
      </c>
      <c r="HF16" t="e">
        <f>AND(Óskir!#REF!,"AAAAAHfe/9U=")</f>
        <v>#REF!</v>
      </c>
      <c r="HG16" t="e">
        <f>AND(Óskir!#REF!,"AAAAAHfe/9Y=")</f>
        <v>#REF!</v>
      </c>
      <c r="HH16" t="e">
        <f>AND(Óskir!A44,"AAAAAHfe/9c=")</f>
        <v>#VALUE!</v>
      </c>
      <c r="HI16">
        <f>IF(Óskir!45:45,"AAAAAHfe/9g=",0)</f>
        <v>0</v>
      </c>
      <c r="HJ16" t="e">
        <f>AND(Óskir!#REF!,"AAAAAHfe/9k=")</f>
        <v>#REF!</v>
      </c>
      <c r="HK16" t="e">
        <f>AND(Óskir!#REF!,"AAAAAHfe/9o=")</f>
        <v>#REF!</v>
      </c>
      <c r="HL16" t="e">
        <f>AND(Óskir!A45,"AAAAAHfe/9s=")</f>
        <v>#VALUE!</v>
      </c>
      <c r="HM16">
        <f>IF(Óskir!46:46,"AAAAAHfe/9w=",0)</f>
        <v>0</v>
      </c>
      <c r="HN16" t="e">
        <f>AND(Óskir!#REF!,"AAAAAHfe/90=")</f>
        <v>#REF!</v>
      </c>
      <c r="HO16" t="e">
        <f>AND(Óskir!#REF!,"AAAAAHfe/94=")</f>
        <v>#REF!</v>
      </c>
      <c r="HP16" t="e">
        <f>AND(Óskir!A46,"AAAAAHfe/98=")</f>
        <v>#VALUE!</v>
      </c>
      <c r="HQ16">
        <f>IF(Óskir!47:47,"AAAAAHfe/+A=",0)</f>
        <v>0</v>
      </c>
      <c r="HR16" t="e">
        <f>AND(Óskir!#REF!,"AAAAAHfe/+E=")</f>
        <v>#REF!</v>
      </c>
      <c r="HS16" t="e">
        <f>AND(Óskir!#REF!,"AAAAAHfe/+I=")</f>
        <v>#REF!</v>
      </c>
      <c r="HT16" t="e">
        <f>AND(Óskir!A47,"AAAAAHfe/+M=")</f>
        <v>#VALUE!</v>
      </c>
      <c r="HU16">
        <f>IF(Óskir!48:48,"AAAAAHfe/+Q=",0)</f>
        <v>0</v>
      </c>
      <c r="HV16" t="e">
        <f>AND(Óskir!#REF!,"AAAAAHfe/+U=")</f>
        <v>#REF!</v>
      </c>
      <c r="HW16" t="e">
        <f>AND(Óskir!#REF!,"AAAAAHfe/+Y=")</f>
        <v>#REF!</v>
      </c>
      <c r="HX16" t="e">
        <f>AND(Óskir!A48,"AAAAAHfe/+c=")</f>
        <v>#VALUE!</v>
      </c>
      <c r="HY16">
        <f>IF(Óskir!49:49,"AAAAAHfe/+g=",0)</f>
        <v>0</v>
      </c>
      <c r="HZ16" t="e">
        <f>AND(Óskir!#REF!,"AAAAAHfe/+k=")</f>
        <v>#REF!</v>
      </c>
      <c r="IA16" t="e">
        <f>AND(Óskir!#REF!,"AAAAAHfe/+o=")</f>
        <v>#REF!</v>
      </c>
      <c r="IB16" t="e">
        <f>AND(Óskir!A49,"AAAAAHfe/+s=")</f>
        <v>#VALUE!</v>
      </c>
      <c r="IC16">
        <f>IF(Óskir!50:50,"AAAAAHfe/+w=",0)</f>
        <v>0</v>
      </c>
      <c r="ID16" t="e">
        <f>AND(Óskir!#REF!,"AAAAAHfe/+0=")</f>
        <v>#REF!</v>
      </c>
      <c r="IE16" t="e">
        <f>AND(Óskir!#REF!,"AAAAAHfe/+4=")</f>
        <v>#REF!</v>
      </c>
      <c r="IF16" t="e">
        <f>AND(Óskir!A50,"AAAAAHfe/+8=")</f>
        <v>#VALUE!</v>
      </c>
      <c r="IG16">
        <f>IF(Óskir!51:51,"AAAAAHfe//A=",0)</f>
        <v>0</v>
      </c>
      <c r="IH16" t="e">
        <f>AND(Óskir!#REF!,"AAAAAHfe//E=")</f>
        <v>#REF!</v>
      </c>
      <c r="II16" t="e">
        <f>AND(Óskir!#REF!,"AAAAAHfe//I=")</f>
        <v>#REF!</v>
      </c>
      <c r="IJ16" t="e">
        <f>AND(Óskir!A51,"AAAAAHfe//M=")</f>
        <v>#VALUE!</v>
      </c>
      <c r="IK16">
        <f>IF(Óskir!52:52,"AAAAAHfe//Q=",0)</f>
        <v>0</v>
      </c>
      <c r="IL16" t="e">
        <f>AND(Óskir!#REF!,"AAAAAHfe//U=")</f>
        <v>#REF!</v>
      </c>
      <c r="IM16" t="e">
        <f>AND(Óskir!#REF!,"AAAAAHfe//Y=")</f>
        <v>#REF!</v>
      </c>
      <c r="IN16" t="e">
        <f>AND(Óskir!A52,"AAAAAHfe//c=")</f>
        <v>#VALUE!</v>
      </c>
      <c r="IO16">
        <f>IF(Óskir!53:53,"AAAAAHfe//g=",0)</f>
        <v>0</v>
      </c>
      <c r="IP16" t="e">
        <f>AND(Óskir!#REF!,"AAAAAHfe//k=")</f>
        <v>#REF!</v>
      </c>
      <c r="IQ16" t="e">
        <f>AND(Óskir!#REF!,"AAAAAHfe//o=")</f>
        <v>#REF!</v>
      </c>
      <c r="IR16" t="e">
        <f>AND(Óskir!A53,"AAAAAHfe//s=")</f>
        <v>#VALUE!</v>
      </c>
      <c r="IS16">
        <f>IF(Óskir!54:54,"AAAAAHfe//w=",0)</f>
        <v>0</v>
      </c>
      <c r="IT16" t="e">
        <f>AND(Óskir!#REF!,"AAAAAHfe//0=")</f>
        <v>#REF!</v>
      </c>
      <c r="IU16" t="e">
        <f>AND(Óskir!#REF!,"AAAAAHfe//4=")</f>
        <v>#REF!</v>
      </c>
      <c r="IV16" t="e">
        <f>AND(Óskir!A54,"AAAAAHfe//8=")</f>
        <v>#VALUE!</v>
      </c>
    </row>
    <row r="17" spans="1:256" x14ac:dyDescent="0.3">
      <c r="A17" t="e">
        <f>IF(Óskir!55:55,"AAAAAG7/9wA=",0)</f>
        <v>#VALUE!</v>
      </c>
      <c r="B17" t="e">
        <f>AND(Óskir!#REF!,"AAAAAG7/9wE=")</f>
        <v>#REF!</v>
      </c>
      <c r="C17" t="e">
        <f>AND(Óskir!#REF!,"AAAAAG7/9wI=")</f>
        <v>#REF!</v>
      </c>
      <c r="D17" t="e">
        <f>AND(Óskir!A55,"AAAAAG7/9wM=")</f>
        <v>#VALUE!</v>
      </c>
      <c r="E17">
        <f>IF(Óskir!56:56,"AAAAAG7/9wQ=",0)</f>
        <v>0</v>
      </c>
      <c r="F17" t="e">
        <f>AND(Óskir!#REF!,"AAAAAG7/9wU=")</f>
        <v>#REF!</v>
      </c>
      <c r="G17" t="e">
        <f>AND(Óskir!#REF!,"AAAAAG7/9wY=")</f>
        <v>#REF!</v>
      </c>
      <c r="H17" t="e">
        <f>AND(Óskir!A56,"AAAAAG7/9wc=")</f>
        <v>#VALUE!</v>
      </c>
      <c r="I17">
        <f>IF(Óskir!57:57,"AAAAAG7/9wg=",0)</f>
        <v>0</v>
      </c>
      <c r="J17" t="e">
        <f>AND(Óskir!#REF!,"AAAAAG7/9wk=")</f>
        <v>#REF!</v>
      </c>
      <c r="K17" t="e">
        <f>AND(Óskir!#REF!,"AAAAAG7/9wo=")</f>
        <v>#REF!</v>
      </c>
      <c r="L17" t="e">
        <f>AND(Óskir!A57,"AAAAAG7/9ws=")</f>
        <v>#VALUE!</v>
      </c>
      <c r="M17">
        <f>IF(Óskir!58:58,"AAAAAG7/9ww=",0)</f>
        <v>0</v>
      </c>
      <c r="N17" t="e">
        <f>AND(Óskir!#REF!,"AAAAAG7/9w0=")</f>
        <v>#REF!</v>
      </c>
      <c r="O17" t="e">
        <f>AND(Óskir!#REF!,"AAAAAG7/9w4=")</f>
        <v>#REF!</v>
      </c>
      <c r="P17" t="e">
        <f>AND(Óskir!A58,"AAAAAG7/9w8=")</f>
        <v>#VALUE!</v>
      </c>
      <c r="Q17">
        <f>IF(Óskir!59:59,"AAAAAG7/9xA=",0)</f>
        <v>0</v>
      </c>
      <c r="R17" t="e">
        <f>AND(Óskir!#REF!,"AAAAAG7/9xE=")</f>
        <v>#REF!</v>
      </c>
      <c r="S17" t="e">
        <f>AND(Óskir!#REF!,"AAAAAG7/9xI=")</f>
        <v>#REF!</v>
      </c>
      <c r="T17" t="e">
        <f>AND(Óskir!A59,"AAAAAG7/9xM=")</f>
        <v>#VALUE!</v>
      </c>
      <c r="U17">
        <f>IF(Óskir!60:60,"AAAAAG7/9xQ=",0)</f>
        <v>0</v>
      </c>
      <c r="V17" t="e">
        <f>AND(Óskir!#REF!,"AAAAAG7/9xU=")</f>
        <v>#REF!</v>
      </c>
      <c r="W17" t="e">
        <f>AND(Óskir!#REF!,"AAAAAG7/9xY=")</f>
        <v>#REF!</v>
      </c>
      <c r="X17" t="e">
        <f>AND(Óskir!A60,"AAAAAG7/9xc=")</f>
        <v>#VALUE!</v>
      </c>
      <c r="Y17">
        <f>IF(Óskir!61:61,"AAAAAG7/9xg=",0)</f>
        <v>0</v>
      </c>
      <c r="Z17" t="e">
        <f>AND(Óskir!#REF!,"AAAAAG7/9xk=")</f>
        <v>#REF!</v>
      </c>
      <c r="AA17" t="e">
        <f>AND(Óskir!#REF!,"AAAAAG7/9xo=")</f>
        <v>#REF!</v>
      </c>
      <c r="AB17" t="e">
        <f>AND(Óskir!A61,"AAAAAG7/9xs=")</f>
        <v>#VALUE!</v>
      </c>
      <c r="AC17">
        <f>IF(Óskir!62:62,"AAAAAG7/9xw=",0)</f>
        <v>0</v>
      </c>
      <c r="AD17" t="e">
        <f>AND(Óskir!#REF!,"AAAAAG7/9x0=")</f>
        <v>#REF!</v>
      </c>
      <c r="AE17" t="e">
        <f>AND(Óskir!#REF!,"AAAAAG7/9x4=")</f>
        <v>#REF!</v>
      </c>
      <c r="AF17" t="e">
        <f>AND(Óskir!A62,"AAAAAG7/9x8=")</f>
        <v>#VALUE!</v>
      </c>
      <c r="AG17" t="e">
        <f>IF(Óskir!#REF!,"AAAAAG7/9yA=",0)</f>
        <v>#REF!</v>
      </c>
      <c r="AH17" t="e">
        <f>IF(Óskir!#REF!,"AAAAAG7/9yE=",0)</f>
        <v>#REF!</v>
      </c>
      <c r="AI17" t="e">
        <f>IF(Óskir!A:A,"AAAAAG7/9yI=",0)</f>
        <v>#VALUE!</v>
      </c>
      <c r="AJ17" t="e">
        <f>IF(#REF!,"AAAAAG7/9yM=",0)</f>
        <v>#REF!</v>
      </c>
      <c r="AK17" t="e">
        <f>AND(#REF!,"AAAAAG7/9yQ=")</f>
        <v>#REF!</v>
      </c>
      <c r="AL17" t="e">
        <f>IF(#REF!,"AAAAAG7/9yU=",0)</f>
        <v>#REF!</v>
      </c>
      <c r="AM17" t="e">
        <f>AND(#REF!,"AAAAAG7/9yY=")</f>
        <v>#REF!</v>
      </c>
      <c r="AN17" t="e">
        <f>IF(#REF!,"AAAAAG7/9yc=",0)</f>
        <v>#REF!</v>
      </c>
      <c r="AO17" t="e">
        <f>AND(#REF!,"AAAAAG7/9yg=")</f>
        <v>#REF!</v>
      </c>
      <c r="AP17" t="e">
        <f>IF(#REF!,"AAAAAG7/9yk=",0)</f>
        <v>#REF!</v>
      </c>
      <c r="AQ17" t="e">
        <f>AND(#REF!,"AAAAAG7/9yo=")</f>
        <v>#REF!</v>
      </c>
      <c r="AR17" t="e">
        <f>IF(#REF!,"AAAAAG7/9ys=",0)</f>
        <v>#REF!</v>
      </c>
      <c r="AS17" t="e">
        <f>AND(#REF!,"AAAAAG7/9yw=")</f>
        <v>#REF!</v>
      </c>
      <c r="AT17" t="e">
        <f>IF(#REF!,"AAAAAG7/9y0=",0)</f>
        <v>#REF!</v>
      </c>
      <c r="AU17" t="e">
        <f>AND(#REF!,"AAAAAG7/9y4=")</f>
        <v>#REF!</v>
      </c>
      <c r="AV17" t="e">
        <f>IF(#REF!,"AAAAAG7/9y8=",0)</f>
        <v>#REF!</v>
      </c>
      <c r="AW17" t="e">
        <f>AND(#REF!,"AAAAAG7/9zA=")</f>
        <v>#REF!</v>
      </c>
      <c r="AX17" t="e">
        <f>IF(#REF!,"AAAAAG7/9zE=",0)</f>
        <v>#REF!</v>
      </c>
      <c r="AY17" t="e">
        <f>AND(#REF!,"AAAAAG7/9zI=")</f>
        <v>#REF!</v>
      </c>
      <c r="AZ17" t="e">
        <f>IF(#REF!,"AAAAAG7/9zM=",0)</f>
        <v>#REF!</v>
      </c>
      <c r="BA17" t="e">
        <f>AND(#REF!,"AAAAAG7/9zQ=")</f>
        <v>#REF!</v>
      </c>
      <c r="BB17" t="e">
        <f>IF(#REF!,"AAAAAG7/9zU=",0)</f>
        <v>#REF!</v>
      </c>
      <c r="BC17" t="e">
        <f>AND(#REF!,"AAAAAG7/9zY=")</f>
        <v>#REF!</v>
      </c>
      <c r="BD17" t="e">
        <f>IF(#REF!,"AAAAAG7/9zc=",0)</f>
        <v>#REF!</v>
      </c>
      <c r="BE17" t="e">
        <f>AND(#REF!,"AAAAAG7/9zg=")</f>
        <v>#REF!</v>
      </c>
      <c r="BF17" t="e">
        <f>IF(#REF!,"AAAAAG7/9zk=",0)</f>
        <v>#REF!</v>
      </c>
      <c r="BG17" t="e">
        <f>AND(#REF!,"AAAAAG7/9zo=")</f>
        <v>#REF!</v>
      </c>
      <c r="BH17" t="e">
        <f>IF(#REF!,"AAAAAG7/9zs=",0)</f>
        <v>#REF!</v>
      </c>
      <c r="BI17" t="e">
        <f>AND(#REF!,"AAAAAG7/9zw=")</f>
        <v>#REF!</v>
      </c>
      <c r="BJ17" t="e">
        <f>IF(#REF!,"AAAAAG7/9z0=",0)</f>
        <v>#REF!</v>
      </c>
      <c r="BK17" t="e">
        <f>AND(#REF!,"AAAAAG7/9z4=")</f>
        <v>#REF!</v>
      </c>
      <c r="BL17" t="e">
        <f>IF(#REF!,"AAAAAG7/9z8=",0)</f>
        <v>#REF!</v>
      </c>
      <c r="BM17" t="e">
        <f>AND(#REF!,"AAAAAG7/90A=")</f>
        <v>#REF!</v>
      </c>
      <c r="BN17" t="e">
        <f>IF(#REF!,"AAAAAG7/90E=",0)</f>
        <v>#REF!</v>
      </c>
      <c r="BO17" t="e">
        <f>IF(#REF!,"AAAAAG7/90I=",0)</f>
        <v>#REF!</v>
      </c>
      <c r="BP17" t="e">
        <f>AND(#REF!,"AAAAAG7/90M=")</f>
        <v>#REF!</v>
      </c>
      <c r="BQ17" t="e">
        <f>AND(#REF!,"AAAAAG7/90Q=")</f>
        <v>#REF!</v>
      </c>
      <c r="BR17" t="e">
        <f>AND(#REF!,"AAAAAG7/90U=")</f>
        <v>#REF!</v>
      </c>
      <c r="BS17" t="e">
        <f>AND(#REF!,"AAAAAG7/90Y=")</f>
        <v>#REF!</v>
      </c>
      <c r="BT17" t="e">
        <f>IF(#REF!,"AAAAAG7/90c=",0)</f>
        <v>#REF!</v>
      </c>
      <c r="BU17" t="e">
        <f>AND(#REF!,"AAAAAG7/90g=")</f>
        <v>#REF!</v>
      </c>
      <c r="BV17" t="e">
        <f>AND(#REF!,"AAAAAG7/90k=")</f>
        <v>#REF!</v>
      </c>
      <c r="BW17" t="e">
        <f>AND(#REF!,"AAAAAG7/90o=")</f>
        <v>#REF!</v>
      </c>
      <c r="BX17" t="e">
        <f>AND(#REF!,"AAAAAG7/90s=")</f>
        <v>#REF!</v>
      </c>
      <c r="BY17" t="e">
        <f>IF(#REF!,"AAAAAG7/90w=",0)</f>
        <v>#REF!</v>
      </c>
      <c r="BZ17" t="e">
        <f>AND(#REF!,"AAAAAG7/900=")</f>
        <v>#REF!</v>
      </c>
      <c r="CA17" t="e">
        <f>AND(#REF!,"AAAAAG7/904=")</f>
        <v>#REF!</v>
      </c>
      <c r="CB17" t="e">
        <f>AND(#REF!,"AAAAAG7/908=")</f>
        <v>#REF!</v>
      </c>
      <c r="CC17" t="e">
        <f>AND(#REF!,"AAAAAG7/91A=")</f>
        <v>#REF!</v>
      </c>
      <c r="CD17" t="e">
        <f>IF(#REF!,"AAAAAG7/91E=",0)</f>
        <v>#REF!</v>
      </c>
      <c r="CE17" t="e">
        <f>AND(#REF!,"AAAAAG7/91I=")</f>
        <v>#REF!</v>
      </c>
      <c r="CF17" t="e">
        <f>AND(#REF!,"AAAAAG7/91M=")</f>
        <v>#REF!</v>
      </c>
      <c r="CG17" t="e">
        <f>AND(#REF!,"AAAAAG7/91Q=")</f>
        <v>#REF!</v>
      </c>
      <c r="CH17" t="e">
        <f>AND(#REF!,"AAAAAG7/91U=")</f>
        <v>#REF!</v>
      </c>
      <c r="CI17" t="e">
        <f>IF(#REF!,"AAAAAG7/91Y=",0)</f>
        <v>#REF!</v>
      </c>
      <c r="CJ17" t="e">
        <f>AND(#REF!,"AAAAAG7/91c=")</f>
        <v>#REF!</v>
      </c>
      <c r="CK17" t="e">
        <f>AND(#REF!,"AAAAAG7/91g=")</f>
        <v>#REF!</v>
      </c>
      <c r="CL17" t="e">
        <f>AND(#REF!,"AAAAAG7/91k=")</f>
        <v>#REF!</v>
      </c>
      <c r="CM17" t="e">
        <f>AND(#REF!,"AAAAAG7/91o=")</f>
        <v>#REF!</v>
      </c>
      <c r="CN17" t="e">
        <f>IF(#REF!,"AAAAAG7/91s=",0)</f>
        <v>#REF!</v>
      </c>
      <c r="CO17" t="e">
        <f>AND(#REF!,"AAAAAG7/91w=")</f>
        <v>#REF!</v>
      </c>
      <c r="CP17" t="e">
        <f>AND(#REF!,"AAAAAG7/910=")</f>
        <v>#REF!</v>
      </c>
      <c r="CQ17" t="e">
        <f>AND(#REF!,"AAAAAG7/914=")</f>
        <v>#REF!</v>
      </c>
      <c r="CR17" t="e">
        <f>AND(#REF!,"AAAAAG7/918=")</f>
        <v>#REF!</v>
      </c>
      <c r="CS17" t="e">
        <f>IF(#REF!,"AAAAAG7/92A=",0)</f>
        <v>#REF!</v>
      </c>
      <c r="CT17" t="e">
        <f>AND(#REF!,"AAAAAG7/92E=")</f>
        <v>#REF!</v>
      </c>
      <c r="CU17" t="e">
        <f>AND(#REF!,"AAAAAG7/92I=")</f>
        <v>#REF!</v>
      </c>
      <c r="CV17" t="e">
        <f>AND(#REF!,"AAAAAG7/92M=")</f>
        <v>#REF!</v>
      </c>
      <c r="CW17" t="e">
        <f>AND(#REF!,"AAAAAG7/92Q=")</f>
        <v>#REF!</v>
      </c>
      <c r="CX17" t="e">
        <f>IF(#REF!,"AAAAAG7/92U=",0)</f>
        <v>#REF!</v>
      </c>
      <c r="CY17" t="e">
        <f>AND(#REF!,"AAAAAG7/92Y=")</f>
        <v>#REF!</v>
      </c>
      <c r="CZ17" t="e">
        <f>AND(#REF!,"AAAAAG7/92c=")</f>
        <v>#REF!</v>
      </c>
      <c r="DA17" t="e">
        <f>AND(#REF!,"AAAAAG7/92g=")</f>
        <v>#REF!</v>
      </c>
      <c r="DB17" t="e">
        <f>AND(#REF!,"AAAAAG7/92k=")</f>
        <v>#REF!</v>
      </c>
      <c r="DC17" t="e">
        <f>IF(#REF!,"AAAAAG7/92o=",0)</f>
        <v>#REF!</v>
      </c>
      <c r="DD17" t="e">
        <f>AND(#REF!,"AAAAAG7/92s=")</f>
        <v>#REF!</v>
      </c>
      <c r="DE17" t="e">
        <f>AND(#REF!,"AAAAAG7/92w=")</f>
        <v>#REF!</v>
      </c>
      <c r="DF17" t="e">
        <f>AND(#REF!,"AAAAAG7/920=")</f>
        <v>#REF!</v>
      </c>
      <c r="DG17" t="e">
        <f>AND(#REF!,"AAAAAG7/924=")</f>
        <v>#REF!</v>
      </c>
      <c r="DH17" t="e">
        <f>IF(#REF!,"AAAAAG7/928=",0)</f>
        <v>#REF!</v>
      </c>
      <c r="DI17" t="e">
        <f>AND(#REF!,"AAAAAG7/93A=")</f>
        <v>#REF!</v>
      </c>
      <c r="DJ17" t="e">
        <f>AND(#REF!,"AAAAAG7/93E=")</f>
        <v>#REF!</v>
      </c>
      <c r="DK17" t="e">
        <f>AND(#REF!,"AAAAAG7/93I=")</f>
        <v>#REF!</v>
      </c>
      <c r="DL17" t="e">
        <f>AND(#REF!,"AAAAAG7/93M=")</f>
        <v>#REF!</v>
      </c>
      <c r="DM17" t="e">
        <f>IF(#REF!,"AAAAAG7/93Q=",0)</f>
        <v>#REF!</v>
      </c>
      <c r="DN17" t="e">
        <f>AND(#REF!,"AAAAAG7/93U=")</f>
        <v>#REF!</v>
      </c>
      <c r="DO17" t="e">
        <f>AND(#REF!,"AAAAAG7/93Y=")</f>
        <v>#REF!</v>
      </c>
      <c r="DP17" t="e">
        <f>AND(#REF!,"AAAAAG7/93c=")</f>
        <v>#REF!</v>
      </c>
      <c r="DQ17" t="e">
        <f>AND(#REF!,"AAAAAG7/93g=")</f>
        <v>#REF!</v>
      </c>
      <c r="DR17" t="e">
        <f>IF(#REF!,"AAAAAG7/93k=",0)</f>
        <v>#REF!</v>
      </c>
      <c r="DS17" t="e">
        <f>AND(#REF!,"AAAAAG7/93o=")</f>
        <v>#REF!</v>
      </c>
      <c r="DT17" t="e">
        <f>AND(#REF!,"AAAAAG7/93s=")</f>
        <v>#REF!</v>
      </c>
      <c r="DU17" t="e">
        <f>AND(#REF!,"AAAAAG7/93w=")</f>
        <v>#REF!</v>
      </c>
      <c r="DV17" t="e">
        <f>AND(#REF!,"AAAAAG7/930=")</f>
        <v>#REF!</v>
      </c>
      <c r="DW17" t="e">
        <f>IF(#REF!,"AAAAAG7/934=",0)</f>
        <v>#REF!</v>
      </c>
      <c r="DX17" t="e">
        <f>AND(#REF!,"AAAAAG7/938=")</f>
        <v>#REF!</v>
      </c>
      <c r="DY17" t="e">
        <f>AND(#REF!,"AAAAAG7/94A=")</f>
        <v>#REF!</v>
      </c>
      <c r="DZ17" t="e">
        <f>AND(#REF!,"AAAAAG7/94E=")</f>
        <v>#REF!</v>
      </c>
      <c r="EA17" t="e">
        <f>AND(#REF!,"AAAAAG7/94I=")</f>
        <v>#REF!</v>
      </c>
      <c r="EB17" t="e">
        <f>IF(#REF!,"AAAAAG7/94M=",0)</f>
        <v>#REF!</v>
      </c>
      <c r="EC17" t="e">
        <f>AND(#REF!,"AAAAAG7/94Q=")</f>
        <v>#REF!</v>
      </c>
      <c r="ED17" t="e">
        <f>AND(#REF!,"AAAAAG7/94U=")</f>
        <v>#REF!</v>
      </c>
      <c r="EE17" t="e">
        <f>AND(#REF!,"AAAAAG7/94Y=")</f>
        <v>#REF!</v>
      </c>
      <c r="EF17" t="e">
        <f>AND(#REF!,"AAAAAG7/94c=")</f>
        <v>#REF!</v>
      </c>
      <c r="EG17" t="e">
        <f>IF(#REF!,"AAAAAG7/94g=",0)</f>
        <v>#REF!</v>
      </c>
      <c r="EH17" t="e">
        <f>AND(#REF!,"AAAAAG7/94k=")</f>
        <v>#REF!</v>
      </c>
      <c r="EI17" t="e">
        <f>AND(#REF!,"AAAAAG7/94o=")</f>
        <v>#REF!</v>
      </c>
      <c r="EJ17" t="e">
        <f>AND(#REF!,"AAAAAG7/94s=")</f>
        <v>#REF!</v>
      </c>
      <c r="EK17" t="e">
        <f>AND(#REF!,"AAAAAG7/94w=")</f>
        <v>#REF!</v>
      </c>
      <c r="EL17" t="e">
        <f>IF(#REF!,"AAAAAG7/940=",0)</f>
        <v>#REF!</v>
      </c>
      <c r="EM17" t="e">
        <f>AND(#REF!,"AAAAAG7/944=")</f>
        <v>#REF!</v>
      </c>
      <c r="EN17" t="e">
        <f>AND(#REF!,"AAAAAG7/948=")</f>
        <v>#REF!</v>
      </c>
      <c r="EO17" t="e">
        <f>AND(#REF!,"AAAAAG7/95A=")</f>
        <v>#REF!</v>
      </c>
      <c r="EP17" t="e">
        <f>AND(#REF!,"AAAAAG7/95E=")</f>
        <v>#REF!</v>
      </c>
      <c r="EQ17" t="e">
        <f>IF(#REF!,"AAAAAG7/95I=",0)</f>
        <v>#REF!</v>
      </c>
      <c r="ER17" t="e">
        <f>AND(#REF!,"AAAAAG7/95M=")</f>
        <v>#REF!</v>
      </c>
      <c r="ES17" t="e">
        <f>AND(#REF!,"AAAAAG7/95Q=")</f>
        <v>#REF!</v>
      </c>
      <c r="ET17" t="e">
        <f>AND(#REF!,"AAAAAG7/95U=")</f>
        <v>#REF!</v>
      </c>
      <c r="EU17" t="e">
        <f>AND(#REF!,"AAAAAG7/95Y=")</f>
        <v>#REF!</v>
      </c>
      <c r="EV17" t="e">
        <f>IF(#REF!,"AAAAAG7/95c=",0)</f>
        <v>#REF!</v>
      </c>
      <c r="EW17" t="e">
        <f>AND(#REF!,"AAAAAG7/95g=")</f>
        <v>#REF!</v>
      </c>
      <c r="EX17" t="e">
        <f>AND(#REF!,"AAAAAG7/95k=")</f>
        <v>#REF!</v>
      </c>
      <c r="EY17" t="e">
        <f>AND(#REF!,"AAAAAG7/95o=")</f>
        <v>#REF!</v>
      </c>
      <c r="EZ17" t="e">
        <f>AND(#REF!,"AAAAAG7/95s=")</f>
        <v>#REF!</v>
      </c>
      <c r="FA17" t="e">
        <f>IF(#REF!,"AAAAAG7/95w=",0)</f>
        <v>#REF!</v>
      </c>
      <c r="FB17" t="e">
        <f>AND(#REF!,"AAAAAG7/950=")</f>
        <v>#REF!</v>
      </c>
      <c r="FC17" t="e">
        <f>AND(#REF!,"AAAAAG7/954=")</f>
        <v>#REF!</v>
      </c>
      <c r="FD17" t="e">
        <f>AND(#REF!,"AAAAAG7/958=")</f>
        <v>#REF!</v>
      </c>
      <c r="FE17" t="e">
        <f>AND(#REF!,"AAAAAG7/96A=")</f>
        <v>#REF!</v>
      </c>
      <c r="FF17" t="e">
        <f>IF(#REF!,"AAAAAG7/96E=",0)</f>
        <v>#REF!</v>
      </c>
      <c r="FG17" t="e">
        <f>AND(#REF!,"AAAAAG7/96I=")</f>
        <v>#REF!</v>
      </c>
      <c r="FH17" t="e">
        <f>AND(#REF!,"AAAAAG7/96M=")</f>
        <v>#REF!</v>
      </c>
      <c r="FI17" t="e">
        <f>AND(#REF!,"AAAAAG7/96Q=")</f>
        <v>#REF!</v>
      </c>
      <c r="FJ17" t="e">
        <f>AND(#REF!,"AAAAAG7/96U=")</f>
        <v>#REF!</v>
      </c>
      <c r="FK17" t="e">
        <f>IF(#REF!,"AAAAAG7/96Y=",0)</f>
        <v>#REF!</v>
      </c>
      <c r="FL17" t="e">
        <f>AND(#REF!,"AAAAAG7/96c=")</f>
        <v>#REF!</v>
      </c>
      <c r="FM17" t="e">
        <f>AND(#REF!,"AAAAAG7/96g=")</f>
        <v>#REF!</v>
      </c>
      <c r="FN17" t="e">
        <f>AND(#REF!,"AAAAAG7/96k=")</f>
        <v>#REF!</v>
      </c>
      <c r="FO17" t="e">
        <f>AND(#REF!,"AAAAAG7/96o=")</f>
        <v>#REF!</v>
      </c>
      <c r="FP17" t="e">
        <f>IF(#REF!,"AAAAAG7/96s=",0)</f>
        <v>#REF!</v>
      </c>
      <c r="FQ17" t="e">
        <f>AND(#REF!,"AAAAAG7/96w=")</f>
        <v>#REF!</v>
      </c>
      <c r="FR17" t="e">
        <f>AND(#REF!,"AAAAAG7/960=")</f>
        <v>#REF!</v>
      </c>
      <c r="FS17" t="e">
        <f>AND(#REF!,"AAAAAG7/964=")</f>
        <v>#REF!</v>
      </c>
      <c r="FT17" t="e">
        <f>AND(#REF!,"AAAAAG7/968=")</f>
        <v>#REF!</v>
      </c>
      <c r="FU17" t="e">
        <f>IF(#REF!,"AAAAAG7/97A=",0)</f>
        <v>#REF!</v>
      </c>
      <c r="FV17" t="e">
        <f>AND(#REF!,"AAAAAG7/97E=")</f>
        <v>#REF!</v>
      </c>
      <c r="FW17" t="e">
        <f>AND(#REF!,"AAAAAG7/97I=")</f>
        <v>#REF!</v>
      </c>
      <c r="FX17" t="e">
        <f>AND(#REF!,"AAAAAG7/97M=")</f>
        <v>#REF!</v>
      </c>
      <c r="FY17" t="e">
        <f>AND(#REF!,"AAAAAG7/97Q=")</f>
        <v>#REF!</v>
      </c>
      <c r="FZ17" t="e">
        <f>IF(#REF!,"AAAAAG7/97U=",0)</f>
        <v>#REF!</v>
      </c>
      <c r="GA17" t="e">
        <f>AND(#REF!,"AAAAAG7/97Y=")</f>
        <v>#REF!</v>
      </c>
      <c r="GB17" t="e">
        <f>AND(#REF!,"AAAAAG7/97c=")</f>
        <v>#REF!</v>
      </c>
      <c r="GC17" t="e">
        <f>AND(#REF!,"AAAAAG7/97g=")</f>
        <v>#REF!</v>
      </c>
      <c r="GD17" t="e">
        <f>AND(#REF!,"AAAAAG7/97k=")</f>
        <v>#REF!</v>
      </c>
      <c r="GE17" t="e">
        <f>IF(#REF!,"AAAAAG7/97o=",0)</f>
        <v>#REF!</v>
      </c>
      <c r="GF17" t="e">
        <f>AND(#REF!,"AAAAAG7/97s=")</f>
        <v>#REF!</v>
      </c>
      <c r="GG17" t="e">
        <f>AND(#REF!,"AAAAAG7/97w=")</f>
        <v>#REF!</v>
      </c>
      <c r="GH17" t="e">
        <f>AND(#REF!,"AAAAAG7/970=")</f>
        <v>#REF!</v>
      </c>
      <c r="GI17" t="e">
        <f>AND(#REF!,"AAAAAG7/974=")</f>
        <v>#REF!</v>
      </c>
      <c r="GJ17" t="e">
        <f>IF(#REF!,"AAAAAG7/978=",0)</f>
        <v>#REF!</v>
      </c>
      <c r="GK17" t="e">
        <f>AND(#REF!,"AAAAAG7/98A=")</f>
        <v>#REF!</v>
      </c>
      <c r="GL17" t="e">
        <f>AND(#REF!,"AAAAAG7/98E=")</f>
        <v>#REF!</v>
      </c>
      <c r="GM17" t="e">
        <f>AND(#REF!,"AAAAAG7/98I=")</f>
        <v>#REF!</v>
      </c>
      <c r="GN17" t="e">
        <f>AND(#REF!,"AAAAAG7/98M=")</f>
        <v>#REF!</v>
      </c>
      <c r="GO17" t="e">
        <f>IF(#REF!,"AAAAAG7/98Q=",0)</f>
        <v>#REF!</v>
      </c>
      <c r="GP17" t="e">
        <f>AND(#REF!,"AAAAAG7/98U=")</f>
        <v>#REF!</v>
      </c>
      <c r="GQ17" t="e">
        <f>AND(#REF!,"AAAAAG7/98Y=")</f>
        <v>#REF!</v>
      </c>
      <c r="GR17" t="e">
        <f>AND(#REF!,"AAAAAG7/98c=")</f>
        <v>#REF!</v>
      </c>
      <c r="GS17" t="e">
        <f>AND(#REF!,"AAAAAG7/98g=")</f>
        <v>#REF!</v>
      </c>
      <c r="GT17" t="e">
        <f>IF(#REF!,"AAAAAG7/98k=",0)</f>
        <v>#REF!</v>
      </c>
      <c r="GU17" t="e">
        <f>AND(#REF!,"AAAAAG7/98o=")</f>
        <v>#REF!</v>
      </c>
      <c r="GV17" t="e">
        <f>AND(#REF!,"AAAAAG7/98s=")</f>
        <v>#REF!</v>
      </c>
      <c r="GW17" t="e">
        <f>AND(#REF!,"AAAAAG7/98w=")</f>
        <v>#REF!</v>
      </c>
      <c r="GX17" t="e">
        <f>AND(#REF!,"AAAAAG7/980=")</f>
        <v>#REF!</v>
      </c>
      <c r="GY17" t="e">
        <f>IF(#REF!,"AAAAAG7/984=",0)</f>
        <v>#REF!</v>
      </c>
      <c r="GZ17" t="e">
        <f>AND(#REF!,"AAAAAG7/988=")</f>
        <v>#REF!</v>
      </c>
      <c r="HA17" t="e">
        <f>AND(#REF!,"AAAAAG7/99A=")</f>
        <v>#REF!</v>
      </c>
      <c r="HB17" t="e">
        <f>AND(#REF!,"AAAAAG7/99E=")</f>
        <v>#REF!</v>
      </c>
      <c r="HC17" t="e">
        <f>AND(#REF!,"AAAAAG7/99I=")</f>
        <v>#REF!</v>
      </c>
      <c r="HD17" t="e">
        <f>IF(#REF!,"AAAAAG7/99M=",0)</f>
        <v>#REF!</v>
      </c>
      <c r="HE17" t="e">
        <f>AND(#REF!,"AAAAAG7/99Q=")</f>
        <v>#REF!</v>
      </c>
      <c r="HF17" t="e">
        <f>AND(#REF!,"AAAAAG7/99U=")</f>
        <v>#REF!</v>
      </c>
      <c r="HG17" t="e">
        <f>AND(#REF!,"AAAAAG7/99Y=")</f>
        <v>#REF!</v>
      </c>
      <c r="HH17" t="e">
        <f>AND(#REF!,"AAAAAG7/99c=")</f>
        <v>#REF!</v>
      </c>
      <c r="HI17" t="e">
        <f>IF(#REF!,"AAAAAG7/99g=",0)</f>
        <v>#REF!</v>
      </c>
      <c r="HJ17" t="e">
        <f>AND(#REF!,"AAAAAG7/99k=")</f>
        <v>#REF!</v>
      </c>
      <c r="HK17" t="e">
        <f>AND(#REF!,"AAAAAG7/99o=")</f>
        <v>#REF!</v>
      </c>
      <c r="HL17" t="e">
        <f>AND(#REF!,"AAAAAG7/99s=")</f>
        <v>#REF!</v>
      </c>
      <c r="HM17" t="e">
        <f>AND(#REF!,"AAAAAG7/99w=")</f>
        <v>#REF!</v>
      </c>
      <c r="HN17" t="e">
        <f>IF(#REF!,"AAAAAG7/990=",0)</f>
        <v>#REF!</v>
      </c>
      <c r="HO17" t="e">
        <f>AND(#REF!,"AAAAAG7/994=")</f>
        <v>#REF!</v>
      </c>
      <c r="HP17" t="e">
        <f>AND(#REF!,"AAAAAG7/998=")</f>
        <v>#REF!</v>
      </c>
      <c r="HQ17" t="e">
        <f>AND(#REF!,"AAAAAG7/9+A=")</f>
        <v>#REF!</v>
      </c>
      <c r="HR17" t="e">
        <f>AND(#REF!,"AAAAAG7/9+E=")</f>
        <v>#REF!</v>
      </c>
      <c r="HS17" t="e">
        <f>IF(#REF!,"AAAAAG7/9+I=",0)</f>
        <v>#REF!</v>
      </c>
      <c r="HT17" t="e">
        <f>AND(#REF!,"AAAAAG7/9+M=")</f>
        <v>#REF!</v>
      </c>
      <c r="HU17" t="e">
        <f>AND(#REF!,"AAAAAG7/9+Q=")</f>
        <v>#REF!</v>
      </c>
      <c r="HV17" t="e">
        <f>AND(#REF!,"AAAAAG7/9+U=")</f>
        <v>#REF!</v>
      </c>
      <c r="HW17" t="e">
        <f>AND(#REF!,"AAAAAG7/9+Y=")</f>
        <v>#REF!</v>
      </c>
      <c r="HX17" t="e">
        <f>IF(#REF!,"AAAAAG7/9+c=",0)</f>
        <v>#REF!</v>
      </c>
      <c r="HY17" t="e">
        <f>AND(#REF!,"AAAAAG7/9+g=")</f>
        <v>#REF!</v>
      </c>
      <c r="HZ17" t="e">
        <f>AND(#REF!,"AAAAAG7/9+k=")</f>
        <v>#REF!</v>
      </c>
      <c r="IA17" t="e">
        <f>AND(#REF!,"AAAAAG7/9+o=")</f>
        <v>#REF!</v>
      </c>
      <c r="IB17" t="e">
        <f>AND(#REF!,"AAAAAG7/9+s=")</f>
        <v>#REF!</v>
      </c>
      <c r="IC17" t="e">
        <f>IF(#REF!,"AAAAAG7/9+w=",0)</f>
        <v>#REF!</v>
      </c>
      <c r="ID17" t="e">
        <f>AND(#REF!,"AAAAAG7/9+0=")</f>
        <v>#REF!</v>
      </c>
      <c r="IE17" t="e">
        <f>AND(#REF!,"AAAAAG7/9+4=")</f>
        <v>#REF!</v>
      </c>
      <c r="IF17" t="e">
        <f>AND(#REF!,"AAAAAG7/9+8=")</f>
        <v>#REF!</v>
      </c>
      <c r="IG17" t="e">
        <f>AND(#REF!,"AAAAAG7/9/A=")</f>
        <v>#REF!</v>
      </c>
      <c r="IH17" t="e">
        <f>IF(#REF!,"AAAAAG7/9/E=",0)</f>
        <v>#REF!</v>
      </c>
      <c r="II17" t="e">
        <f>AND(#REF!,"AAAAAG7/9/I=")</f>
        <v>#REF!</v>
      </c>
      <c r="IJ17" t="e">
        <f>AND(#REF!,"AAAAAG7/9/M=")</f>
        <v>#REF!</v>
      </c>
      <c r="IK17" t="e">
        <f>AND(#REF!,"AAAAAG7/9/Q=")</f>
        <v>#REF!</v>
      </c>
      <c r="IL17" t="e">
        <f>AND(#REF!,"AAAAAG7/9/U=")</f>
        <v>#REF!</v>
      </c>
      <c r="IM17" t="e">
        <f>IF(#REF!,"AAAAAG7/9/Y=",0)</f>
        <v>#REF!</v>
      </c>
      <c r="IN17" t="e">
        <f>AND(#REF!,"AAAAAG7/9/c=")</f>
        <v>#REF!</v>
      </c>
      <c r="IO17" t="e">
        <f>AND(#REF!,"AAAAAG7/9/g=")</f>
        <v>#REF!</v>
      </c>
      <c r="IP17" t="e">
        <f>AND(#REF!,"AAAAAG7/9/k=")</f>
        <v>#REF!</v>
      </c>
      <c r="IQ17" t="e">
        <f>AND(#REF!,"AAAAAG7/9/o=")</f>
        <v>#REF!</v>
      </c>
      <c r="IR17" t="e">
        <f>IF(#REF!,"AAAAAG7/9/s=",0)</f>
        <v>#REF!</v>
      </c>
      <c r="IS17" t="e">
        <f>AND(#REF!,"AAAAAG7/9/w=")</f>
        <v>#REF!</v>
      </c>
      <c r="IT17" t="e">
        <f>AND(#REF!,"AAAAAG7/9/0=")</f>
        <v>#REF!</v>
      </c>
      <c r="IU17" t="e">
        <f>AND(#REF!,"AAAAAG7/9/4=")</f>
        <v>#REF!</v>
      </c>
      <c r="IV17" t="e">
        <f>AND(#REF!,"AAAAAG7/9/8=")</f>
        <v>#REF!</v>
      </c>
    </row>
    <row r="18" spans="1:256" x14ac:dyDescent="0.3">
      <c r="A18" t="e">
        <f>IF(#REF!,"AAAAAD///gA=",0)</f>
        <v>#REF!</v>
      </c>
      <c r="B18" t="e">
        <f>AND(#REF!,"AAAAAD///gE=")</f>
        <v>#REF!</v>
      </c>
      <c r="C18" t="e">
        <f>AND(#REF!,"AAAAAD///gI=")</f>
        <v>#REF!</v>
      </c>
      <c r="D18" t="e">
        <f>AND(#REF!,"AAAAAD///gM=")</f>
        <v>#REF!</v>
      </c>
      <c r="E18" t="e">
        <f>AND(#REF!,"AAAAAD///gQ=")</f>
        <v>#REF!</v>
      </c>
      <c r="F18" t="e">
        <f>IF(#REF!,"AAAAAD///gU=",0)</f>
        <v>#REF!</v>
      </c>
      <c r="G18" t="e">
        <f>AND(#REF!,"AAAAAD///gY=")</f>
        <v>#REF!</v>
      </c>
      <c r="H18" t="e">
        <f>AND(#REF!,"AAAAAD///gc=")</f>
        <v>#REF!</v>
      </c>
      <c r="I18" t="e">
        <f>AND(#REF!,"AAAAAD///gg=")</f>
        <v>#REF!</v>
      </c>
      <c r="J18" t="e">
        <f>AND(#REF!,"AAAAAD///gk=")</f>
        <v>#REF!</v>
      </c>
      <c r="K18" t="e">
        <f>IF(#REF!,"AAAAAD///go=",0)</f>
        <v>#REF!</v>
      </c>
      <c r="L18" t="e">
        <f>AND(#REF!,"AAAAAD///gs=")</f>
        <v>#REF!</v>
      </c>
      <c r="M18" t="e">
        <f>AND(#REF!,"AAAAAD///gw=")</f>
        <v>#REF!</v>
      </c>
      <c r="N18" t="e">
        <f>AND(#REF!,"AAAAAD///g0=")</f>
        <v>#REF!</v>
      </c>
      <c r="O18" t="e">
        <f>AND(#REF!,"AAAAAD///g4=")</f>
        <v>#REF!</v>
      </c>
      <c r="P18" t="e">
        <f>IF(#REF!,"AAAAAD///g8=",0)</f>
        <v>#REF!</v>
      </c>
      <c r="Q18" t="e">
        <f>AND(#REF!,"AAAAAD///hA=")</f>
        <v>#REF!</v>
      </c>
      <c r="R18" t="e">
        <f>AND(#REF!,"AAAAAD///hE=")</f>
        <v>#REF!</v>
      </c>
      <c r="S18" t="e">
        <f>AND(#REF!,"AAAAAD///hI=")</f>
        <v>#REF!</v>
      </c>
      <c r="T18" t="e">
        <f>AND(#REF!,"AAAAAD///hM=")</f>
        <v>#REF!</v>
      </c>
      <c r="U18" t="e">
        <f>IF(#REF!,"AAAAAD///hQ=",0)</f>
        <v>#REF!</v>
      </c>
      <c r="V18" t="e">
        <f>AND(#REF!,"AAAAAD///hU=")</f>
        <v>#REF!</v>
      </c>
      <c r="W18" t="e">
        <f>AND(#REF!,"AAAAAD///hY=")</f>
        <v>#REF!</v>
      </c>
      <c r="X18" t="e">
        <f>AND(#REF!,"AAAAAD///hc=")</f>
        <v>#REF!</v>
      </c>
      <c r="Y18" t="e">
        <f>AND(#REF!,"AAAAAD///hg=")</f>
        <v>#REF!</v>
      </c>
      <c r="Z18" t="e">
        <f>IF(#REF!,"AAAAAD///hk=",0)</f>
        <v>#REF!</v>
      </c>
      <c r="AA18" t="e">
        <f>AND(#REF!,"AAAAAD///ho=")</f>
        <v>#REF!</v>
      </c>
      <c r="AB18" t="e">
        <f>AND(#REF!,"AAAAAD///hs=")</f>
        <v>#REF!</v>
      </c>
      <c r="AC18" t="e">
        <f>AND(#REF!,"AAAAAD///hw=")</f>
        <v>#REF!</v>
      </c>
      <c r="AD18" t="e">
        <f>AND(#REF!,"AAAAAD///h0=")</f>
        <v>#REF!</v>
      </c>
      <c r="AE18" t="e">
        <f>IF(#REF!,"AAAAAD///h4=",0)</f>
        <v>#REF!</v>
      </c>
      <c r="AF18" t="e">
        <f>AND(#REF!,"AAAAAD///h8=")</f>
        <v>#REF!</v>
      </c>
      <c r="AG18" t="e">
        <f>AND(#REF!,"AAAAAD///iA=")</f>
        <v>#REF!</v>
      </c>
      <c r="AH18" t="e">
        <f>AND(#REF!,"AAAAAD///iE=")</f>
        <v>#REF!</v>
      </c>
      <c r="AI18" t="e">
        <f>AND(#REF!,"AAAAAD///iI=")</f>
        <v>#REF!</v>
      </c>
      <c r="AJ18" t="e">
        <f>IF(#REF!,"AAAAAD///iM=",0)</f>
        <v>#REF!</v>
      </c>
      <c r="AK18" t="e">
        <f>AND(#REF!,"AAAAAD///iQ=")</f>
        <v>#REF!</v>
      </c>
      <c r="AL18" t="e">
        <f>AND(#REF!,"AAAAAD///iU=")</f>
        <v>#REF!</v>
      </c>
      <c r="AM18" t="e">
        <f>AND(#REF!,"AAAAAD///iY=")</f>
        <v>#REF!</v>
      </c>
      <c r="AN18" t="e">
        <f>AND(#REF!,"AAAAAD///ic=")</f>
        <v>#REF!</v>
      </c>
      <c r="AO18" t="e">
        <f>IF(#REF!,"AAAAAD///ig=",0)</f>
        <v>#REF!</v>
      </c>
      <c r="AP18" t="e">
        <f>AND(#REF!,"AAAAAD///ik=")</f>
        <v>#REF!</v>
      </c>
      <c r="AQ18" t="e">
        <f>AND(#REF!,"AAAAAD///io=")</f>
        <v>#REF!</v>
      </c>
      <c r="AR18" t="e">
        <f>AND(#REF!,"AAAAAD///is=")</f>
        <v>#REF!</v>
      </c>
      <c r="AS18" t="e">
        <f>AND(#REF!,"AAAAAD///iw=")</f>
        <v>#REF!</v>
      </c>
      <c r="AT18" t="e">
        <f>IF(#REF!,"AAAAAD///i0=",0)</f>
        <v>#REF!</v>
      </c>
      <c r="AU18" t="e">
        <f>AND(#REF!,"AAAAAD///i4=")</f>
        <v>#REF!</v>
      </c>
      <c r="AV18" t="e">
        <f>AND(#REF!,"AAAAAD///i8=")</f>
        <v>#REF!</v>
      </c>
      <c r="AW18" t="e">
        <f>AND(#REF!,"AAAAAD///jA=")</f>
        <v>#REF!</v>
      </c>
      <c r="AX18" t="e">
        <f>AND(#REF!,"AAAAAD///jE=")</f>
        <v>#REF!</v>
      </c>
      <c r="AY18" t="e">
        <f>IF(#REF!,"AAAAAD///jI=",0)</f>
        <v>#REF!</v>
      </c>
      <c r="AZ18" t="e">
        <f>AND(#REF!,"AAAAAD///jM=")</f>
        <v>#REF!</v>
      </c>
      <c r="BA18" t="e">
        <f>AND(#REF!,"AAAAAD///jQ=")</f>
        <v>#REF!</v>
      </c>
      <c r="BB18" t="e">
        <f>AND(#REF!,"AAAAAD///jU=")</f>
        <v>#REF!</v>
      </c>
      <c r="BC18" t="e">
        <f>AND(#REF!,"AAAAAD///jY=")</f>
        <v>#REF!</v>
      </c>
      <c r="BD18" t="e">
        <f>IF(#REF!,"AAAAAD///jc=",0)</f>
        <v>#REF!</v>
      </c>
      <c r="BE18" t="e">
        <f>AND(#REF!,"AAAAAD///jg=")</f>
        <v>#REF!</v>
      </c>
      <c r="BF18" t="e">
        <f>AND(#REF!,"AAAAAD///jk=")</f>
        <v>#REF!</v>
      </c>
      <c r="BG18" t="e">
        <f>AND(#REF!,"AAAAAD///jo=")</f>
        <v>#REF!</v>
      </c>
      <c r="BH18" t="e">
        <f>AND(#REF!,"AAAAAD///js=")</f>
        <v>#REF!</v>
      </c>
      <c r="BI18" t="e">
        <f>IF(#REF!,"AAAAAD///jw=",0)</f>
        <v>#REF!</v>
      </c>
      <c r="BJ18" t="e">
        <f>AND(#REF!,"AAAAAD///j0=")</f>
        <v>#REF!</v>
      </c>
      <c r="BK18" t="e">
        <f>AND(#REF!,"AAAAAD///j4=")</f>
        <v>#REF!</v>
      </c>
      <c r="BL18" t="e">
        <f>IF(#REF!,"AAAAAD///j8=",0)</f>
        <v>#REF!</v>
      </c>
      <c r="BM18" t="e">
        <f>AND(#REF!,"AAAAAD///kA=")</f>
        <v>#REF!</v>
      </c>
      <c r="BN18" t="e">
        <f>AND(#REF!,"AAAAAD///kE=")</f>
        <v>#REF!</v>
      </c>
      <c r="BO18" t="e">
        <f>IF(#REF!,"AAAAAD///kI=",0)</f>
        <v>#REF!</v>
      </c>
      <c r="BP18" t="e">
        <f>AND(#REF!,"AAAAAD///kM=")</f>
        <v>#REF!</v>
      </c>
      <c r="BQ18" t="e">
        <f>AND(#REF!,"AAAAAD///kQ=")</f>
        <v>#REF!</v>
      </c>
      <c r="BR18" t="e">
        <f>IF(#REF!,"AAAAAD///kU=",0)</f>
        <v>#REF!</v>
      </c>
      <c r="BS18" t="e">
        <f>AND(#REF!,"AAAAAD///kY=")</f>
        <v>#REF!</v>
      </c>
      <c r="BT18" t="e">
        <f>AND(#REF!,"AAAAAD///kc=")</f>
        <v>#REF!</v>
      </c>
      <c r="BU18" t="e">
        <f>IF(#REF!,"AAAAAD///kg=",0)</f>
        <v>#REF!</v>
      </c>
      <c r="BV18" t="e">
        <f>AND(#REF!,"AAAAAD///kk=")</f>
        <v>#REF!</v>
      </c>
      <c r="BW18" t="e">
        <f>AND(#REF!,"AAAAAD///ko=")</f>
        <v>#REF!</v>
      </c>
      <c r="BX18" t="e">
        <f>IF(#REF!,"AAAAAD///ks=",0)</f>
        <v>#REF!</v>
      </c>
      <c r="BY18" t="e">
        <f>AND(#REF!,"AAAAAD///kw=")</f>
        <v>#REF!</v>
      </c>
      <c r="BZ18" t="e">
        <f>AND(#REF!,"AAAAAD///k0=")</f>
        <v>#REF!</v>
      </c>
      <c r="CA18" t="e">
        <f>IF(#REF!,"AAAAAD///k4=",0)</f>
        <v>#REF!</v>
      </c>
      <c r="CB18" t="e">
        <f>AND(#REF!,"AAAAAD///k8=")</f>
        <v>#REF!</v>
      </c>
      <c r="CC18" t="e">
        <f>AND(#REF!,"AAAAAD///lA=")</f>
        <v>#REF!</v>
      </c>
      <c r="CD18" t="e">
        <f>IF(#REF!,"AAAAAD///lE=",0)</f>
        <v>#REF!</v>
      </c>
      <c r="CE18" t="e">
        <f>IF(#REF!,"AAAAAD///lI=",0)</f>
        <v>#REF!</v>
      </c>
      <c r="CF18" t="e">
        <f>IF(#REF!,"AAAAAD///lM=",0)</f>
        <v>#REF!</v>
      </c>
      <c r="CG18" t="e">
        <f>IF(#REF!,"AAAAAD///lQ=",0)</f>
        <v>#REF!</v>
      </c>
      <c r="CH18" t="s">
        <v>677</v>
      </c>
      <c r="CI18" t="e">
        <f>IF("N",tafla,"AAAAAD///lY=")</f>
        <v>#VALUE!</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zoomScale="94" zoomScaleNormal="94" workbookViewId="0">
      <pane ySplit="2" topLeftCell="A3" activePane="bottomLeft" state="frozen"/>
      <selection pane="bottomLeft" sqref="A1:E22"/>
    </sheetView>
  </sheetViews>
  <sheetFormatPr defaultRowHeight="15" x14ac:dyDescent="0.25"/>
  <cols>
    <col min="1" max="1" width="22.28515625" bestFit="1" customWidth="1"/>
    <col min="2" max="2" width="24.140625" hidden="1" customWidth="1"/>
    <col min="3" max="3" width="8.85546875" style="157"/>
    <col min="4" max="4" width="6.7109375" style="157" bestFit="1" customWidth="1"/>
    <col min="5" max="5" width="9.7109375" style="157" customWidth="1"/>
    <col min="8" max="8" width="16.28515625" customWidth="1"/>
    <col min="9" max="9" width="0" hidden="1" customWidth="1"/>
    <col min="12" max="12" width="10.5703125" customWidth="1"/>
  </cols>
  <sheetData>
    <row r="1" spans="1:5" ht="14.45" x14ac:dyDescent="0.3">
      <c r="A1" s="25">
        <v>2012</v>
      </c>
      <c r="B1" s="26">
        <v>2008</v>
      </c>
      <c r="C1" s="27">
        <v>2012</v>
      </c>
      <c r="D1" s="27">
        <v>2008</v>
      </c>
      <c r="E1" s="28"/>
    </row>
    <row r="2" spans="1:5" ht="45" x14ac:dyDescent="0.25">
      <c r="A2" s="29" t="s">
        <v>736</v>
      </c>
      <c r="B2" s="26" t="s">
        <v>736</v>
      </c>
      <c r="C2" s="30" t="s">
        <v>737</v>
      </c>
      <c r="D2" s="30" t="s">
        <v>737</v>
      </c>
      <c r="E2" s="30" t="s">
        <v>738</v>
      </c>
    </row>
    <row r="3" spans="1:5" x14ac:dyDescent="0.25">
      <c r="A3" s="149" t="s">
        <v>669</v>
      </c>
      <c r="B3" s="150"/>
      <c r="C3" s="154">
        <v>0</v>
      </c>
      <c r="D3" s="155"/>
      <c r="E3" s="151">
        <f>SUM(C3-D3)</f>
        <v>0</v>
      </c>
    </row>
    <row r="4" spans="1:5" x14ac:dyDescent="0.25">
      <c r="A4" s="149" t="s">
        <v>31</v>
      </c>
      <c r="B4" s="150"/>
      <c r="C4" s="154">
        <v>7</v>
      </c>
      <c r="D4" s="155"/>
      <c r="E4" s="151">
        <f t="shared" ref="E4:E44" si="0">SUM(C4-D4)</f>
        <v>7</v>
      </c>
    </row>
    <row r="5" spans="1:5" x14ac:dyDescent="0.25">
      <c r="A5" s="149" t="s">
        <v>32</v>
      </c>
      <c r="B5" s="150"/>
      <c r="C5" s="154">
        <v>1</v>
      </c>
      <c r="D5" s="155"/>
      <c r="E5" s="151">
        <f t="shared" si="0"/>
        <v>1</v>
      </c>
    </row>
    <row r="6" spans="1:5" ht="14.45" x14ac:dyDescent="0.3">
      <c r="A6" s="149" t="s">
        <v>58</v>
      </c>
      <c r="B6" s="150"/>
      <c r="C6" s="154">
        <v>9</v>
      </c>
      <c r="D6" s="155"/>
      <c r="E6" s="151">
        <f t="shared" si="0"/>
        <v>9</v>
      </c>
    </row>
    <row r="7" spans="1:5" x14ac:dyDescent="0.25">
      <c r="A7" s="149" t="s">
        <v>670</v>
      </c>
      <c r="B7" s="152" t="s">
        <v>739</v>
      </c>
      <c r="C7" s="154">
        <v>0</v>
      </c>
      <c r="D7" s="156">
        <v>11</v>
      </c>
      <c r="E7" s="151">
        <f t="shared" si="0"/>
        <v>-11</v>
      </c>
    </row>
    <row r="8" spans="1:5" x14ac:dyDescent="0.25">
      <c r="A8" s="149" t="s">
        <v>69</v>
      </c>
      <c r="B8" s="150"/>
      <c r="C8" s="154">
        <v>3</v>
      </c>
      <c r="D8" s="155"/>
      <c r="E8" s="151">
        <f t="shared" si="0"/>
        <v>3</v>
      </c>
    </row>
    <row r="9" spans="1:5" ht="19.899999999999999" customHeight="1" x14ac:dyDescent="0.25">
      <c r="A9" s="149" t="s">
        <v>676</v>
      </c>
      <c r="B9" s="152" t="s">
        <v>740</v>
      </c>
      <c r="C9" s="154">
        <v>1</v>
      </c>
      <c r="D9" s="156">
        <v>2</v>
      </c>
      <c r="E9" s="151">
        <f t="shared" si="0"/>
        <v>-1</v>
      </c>
    </row>
    <row r="10" spans="1:5" x14ac:dyDescent="0.25">
      <c r="A10" s="149" t="s">
        <v>671</v>
      </c>
      <c r="B10" s="150"/>
      <c r="C10" s="154">
        <v>0</v>
      </c>
      <c r="D10" s="155"/>
      <c r="E10" s="151">
        <f t="shared" si="0"/>
        <v>0</v>
      </c>
    </row>
    <row r="11" spans="1:5" x14ac:dyDescent="0.25">
      <c r="A11" s="149" t="s">
        <v>672</v>
      </c>
      <c r="B11" s="152" t="s">
        <v>672</v>
      </c>
      <c r="C11" s="154">
        <v>18</v>
      </c>
      <c r="D11" s="156">
        <v>15</v>
      </c>
      <c r="E11" s="151">
        <f t="shared" si="0"/>
        <v>3</v>
      </c>
    </row>
    <row r="12" spans="1:5" ht="30" x14ac:dyDescent="0.25">
      <c r="A12" s="153" t="s">
        <v>741</v>
      </c>
      <c r="B12" s="152" t="s">
        <v>741</v>
      </c>
      <c r="C12" s="154"/>
      <c r="D12" s="156">
        <v>2</v>
      </c>
      <c r="E12" s="151">
        <f t="shared" si="0"/>
        <v>-2</v>
      </c>
    </row>
    <row r="13" spans="1:5" x14ac:dyDescent="0.25">
      <c r="A13" s="149" t="s">
        <v>673</v>
      </c>
      <c r="B13" s="150"/>
      <c r="C13" s="154">
        <v>0</v>
      </c>
      <c r="D13" s="155"/>
      <c r="E13" s="151">
        <f t="shared" si="0"/>
        <v>0</v>
      </c>
    </row>
    <row r="14" spans="1:5" ht="14.45" x14ac:dyDescent="0.3">
      <c r="A14" s="149" t="s">
        <v>126</v>
      </c>
      <c r="B14" s="150"/>
      <c r="C14" s="154">
        <v>3</v>
      </c>
      <c r="D14" s="155"/>
      <c r="E14" s="151">
        <f t="shared" si="0"/>
        <v>3</v>
      </c>
    </row>
    <row r="15" spans="1:5" ht="14.45" x14ac:dyDescent="0.3">
      <c r="A15" s="149" t="s">
        <v>674</v>
      </c>
      <c r="B15" s="152" t="s">
        <v>674</v>
      </c>
      <c r="C15" s="154">
        <v>0</v>
      </c>
      <c r="D15" s="156">
        <v>1</v>
      </c>
      <c r="E15" s="151">
        <f t="shared" si="0"/>
        <v>-1</v>
      </c>
    </row>
    <row r="16" spans="1:5" x14ac:dyDescent="0.25">
      <c r="A16" s="149" t="s">
        <v>142</v>
      </c>
      <c r="B16" s="152" t="s">
        <v>142</v>
      </c>
      <c r="C16" s="154">
        <v>7</v>
      </c>
      <c r="D16" s="156">
        <v>4</v>
      </c>
      <c r="E16" s="151">
        <f t="shared" si="0"/>
        <v>3</v>
      </c>
    </row>
    <row r="17" spans="1:5" ht="30" x14ac:dyDescent="0.25">
      <c r="A17" s="149" t="s">
        <v>186</v>
      </c>
      <c r="B17" s="152" t="s">
        <v>742</v>
      </c>
      <c r="C17" s="154">
        <v>3</v>
      </c>
      <c r="D17" s="156">
        <v>2</v>
      </c>
      <c r="E17" s="151">
        <f t="shared" si="0"/>
        <v>1</v>
      </c>
    </row>
    <row r="18" spans="1:5" x14ac:dyDescent="0.25">
      <c r="A18" s="149" t="s">
        <v>197</v>
      </c>
      <c r="B18" s="152" t="s">
        <v>197</v>
      </c>
      <c r="C18" s="154">
        <v>5</v>
      </c>
      <c r="D18" s="156">
        <v>6</v>
      </c>
      <c r="E18" s="151">
        <f t="shared" si="0"/>
        <v>-1</v>
      </c>
    </row>
    <row r="19" spans="1:5" x14ac:dyDescent="0.25">
      <c r="A19" s="149" t="s">
        <v>267</v>
      </c>
      <c r="B19" s="152" t="s">
        <v>267</v>
      </c>
      <c r="C19" s="154">
        <v>41</v>
      </c>
      <c r="D19" s="156">
        <v>29</v>
      </c>
      <c r="E19" s="151">
        <f t="shared" si="0"/>
        <v>12</v>
      </c>
    </row>
    <row r="20" spans="1:5" x14ac:dyDescent="0.25">
      <c r="A20" s="149" t="s">
        <v>675</v>
      </c>
      <c r="B20" s="152" t="s">
        <v>743</v>
      </c>
      <c r="C20" s="154">
        <v>9</v>
      </c>
      <c r="D20" s="156">
        <v>10</v>
      </c>
      <c r="E20" s="151">
        <f t="shared" si="0"/>
        <v>-1</v>
      </c>
    </row>
    <row r="21" spans="1:5" ht="14.45" x14ac:dyDescent="0.3">
      <c r="A21" s="149" t="s">
        <v>278</v>
      </c>
      <c r="B21" s="152" t="s">
        <v>278</v>
      </c>
      <c r="C21" s="154">
        <v>5</v>
      </c>
      <c r="D21" s="156">
        <v>5</v>
      </c>
      <c r="E21" s="151">
        <f t="shared" si="0"/>
        <v>0</v>
      </c>
    </row>
    <row r="22" spans="1:5" ht="14.45" x14ac:dyDescent="0.3">
      <c r="A22" s="149" t="s">
        <v>631</v>
      </c>
      <c r="B22" s="152" t="s">
        <v>631</v>
      </c>
      <c r="C22" s="154">
        <v>4</v>
      </c>
      <c r="D22" s="156">
        <v>3</v>
      </c>
      <c r="E22" s="151">
        <f t="shared" si="0"/>
        <v>1</v>
      </c>
    </row>
    <row r="23" spans="1:5" ht="30" x14ac:dyDescent="0.25">
      <c r="A23" s="149" t="s">
        <v>744</v>
      </c>
      <c r="B23" s="152" t="s">
        <v>745</v>
      </c>
      <c r="C23" s="154">
        <v>0</v>
      </c>
      <c r="D23" s="156">
        <v>3</v>
      </c>
      <c r="E23" s="151">
        <f t="shared" si="0"/>
        <v>-3</v>
      </c>
    </row>
    <row r="24" spans="1:5" ht="14.45" x14ac:dyDescent="0.3">
      <c r="A24" s="14" t="s">
        <v>280</v>
      </c>
      <c r="B24" s="31"/>
      <c r="C24" s="28">
        <v>0</v>
      </c>
      <c r="D24" s="146"/>
      <c r="E24" s="33">
        <f t="shared" si="0"/>
        <v>0</v>
      </c>
    </row>
    <row r="25" spans="1:5" x14ac:dyDescent="0.25">
      <c r="A25" s="14" t="s">
        <v>281</v>
      </c>
      <c r="B25" s="31"/>
      <c r="C25" s="28">
        <v>9</v>
      </c>
      <c r="D25" s="146"/>
      <c r="E25" s="33">
        <f t="shared" si="0"/>
        <v>9</v>
      </c>
    </row>
    <row r="26" spans="1:5" x14ac:dyDescent="0.25">
      <c r="A26" s="14" t="s">
        <v>355</v>
      </c>
      <c r="B26" s="34" t="s">
        <v>355</v>
      </c>
      <c r="C26" s="28">
        <v>25</v>
      </c>
      <c r="D26" s="145">
        <v>11</v>
      </c>
      <c r="E26" s="33">
        <f t="shared" si="0"/>
        <v>14</v>
      </c>
    </row>
    <row r="27" spans="1:5" ht="14.45" x14ac:dyDescent="0.3">
      <c r="A27" s="14" t="s">
        <v>357</v>
      </c>
      <c r="B27" s="34" t="s">
        <v>357</v>
      </c>
      <c r="C27" s="28">
        <v>15</v>
      </c>
      <c r="D27" s="145">
        <v>9</v>
      </c>
      <c r="E27" s="33">
        <f t="shared" si="0"/>
        <v>6</v>
      </c>
    </row>
    <row r="28" spans="1:5" ht="30" x14ac:dyDescent="0.25">
      <c r="A28" s="14" t="s">
        <v>398</v>
      </c>
      <c r="B28" s="31"/>
      <c r="C28" s="28">
        <v>2</v>
      </c>
      <c r="D28" s="146"/>
      <c r="E28" s="33">
        <f t="shared" si="0"/>
        <v>2</v>
      </c>
    </row>
    <row r="29" spans="1:5" ht="14.45" x14ac:dyDescent="0.3">
      <c r="A29" s="14" t="s">
        <v>399</v>
      </c>
      <c r="B29" s="34" t="s">
        <v>399</v>
      </c>
      <c r="C29" s="28">
        <v>4</v>
      </c>
      <c r="D29" s="145">
        <v>4</v>
      </c>
      <c r="E29" s="33">
        <f t="shared" si="0"/>
        <v>0</v>
      </c>
    </row>
    <row r="30" spans="1:5" x14ac:dyDescent="0.25">
      <c r="A30" s="14" t="s">
        <v>430</v>
      </c>
      <c r="B30" s="31"/>
      <c r="C30" s="28">
        <v>14</v>
      </c>
      <c r="D30" s="146"/>
      <c r="E30" s="33">
        <f t="shared" si="0"/>
        <v>14</v>
      </c>
    </row>
    <row r="31" spans="1:5" x14ac:dyDescent="0.25">
      <c r="A31" s="14" t="s">
        <v>668</v>
      </c>
      <c r="B31" s="34" t="s">
        <v>668</v>
      </c>
      <c r="C31" s="28">
        <v>1</v>
      </c>
      <c r="D31" s="145">
        <v>2</v>
      </c>
      <c r="E31" s="33">
        <f t="shared" si="0"/>
        <v>-1</v>
      </c>
    </row>
    <row r="32" spans="1:5" ht="14.45" x14ac:dyDescent="0.3">
      <c r="A32" s="14" t="s">
        <v>442</v>
      </c>
      <c r="B32" s="34" t="s">
        <v>442</v>
      </c>
      <c r="C32" s="28">
        <v>10</v>
      </c>
      <c r="D32" s="145">
        <v>6</v>
      </c>
      <c r="E32" s="33">
        <f t="shared" si="0"/>
        <v>4</v>
      </c>
    </row>
    <row r="33" spans="1:5" ht="14.45" x14ac:dyDescent="0.3">
      <c r="A33" s="14" t="s">
        <v>447</v>
      </c>
      <c r="B33" s="34" t="s">
        <v>447</v>
      </c>
      <c r="C33" s="28">
        <v>1</v>
      </c>
      <c r="D33" s="145">
        <v>11</v>
      </c>
      <c r="E33" s="33">
        <f t="shared" si="0"/>
        <v>-10</v>
      </c>
    </row>
    <row r="34" spans="1:5" x14ac:dyDescent="0.25">
      <c r="A34" s="14" t="s">
        <v>448</v>
      </c>
      <c r="B34" s="34" t="s">
        <v>746</v>
      </c>
      <c r="C34" s="28">
        <v>5</v>
      </c>
      <c r="D34" s="145">
        <v>2</v>
      </c>
      <c r="E34" s="33">
        <f t="shared" si="0"/>
        <v>3</v>
      </c>
    </row>
    <row r="35" spans="1:5" ht="30" x14ac:dyDescent="0.25">
      <c r="A35" s="14" t="s">
        <v>747</v>
      </c>
      <c r="B35" s="34" t="s">
        <v>747</v>
      </c>
      <c r="C35" s="28">
        <v>0</v>
      </c>
      <c r="D35" s="145">
        <v>2</v>
      </c>
      <c r="E35" s="33">
        <f t="shared" si="0"/>
        <v>-2</v>
      </c>
    </row>
    <row r="36" spans="1:5" x14ac:dyDescent="0.25">
      <c r="A36" s="14" t="s">
        <v>464</v>
      </c>
      <c r="B36" s="31"/>
      <c r="C36" s="28">
        <v>1</v>
      </c>
      <c r="D36" s="146"/>
      <c r="E36" s="33">
        <f t="shared" si="0"/>
        <v>1</v>
      </c>
    </row>
    <row r="37" spans="1:5" ht="14.45" x14ac:dyDescent="0.3">
      <c r="A37" s="14" t="s">
        <v>469</v>
      </c>
      <c r="B37" s="34" t="s">
        <v>469</v>
      </c>
      <c r="C37" s="28">
        <v>9</v>
      </c>
      <c r="D37" s="145">
        <v>37</v>
      </c>
      <c r="E37" s="33">
        <f t="shared" si="0"/>
        <v>-28</v>
      </c>
    </row>
    <row r="38" spans="1:5" x14ac:dyDescent="0.25">
      <c r="A38" s="14" t="s">
        <v>495</v>
      </c>
      <c r="B38" s="31"/>
      <c r="C38" s="28">
        <v>1</v>
      </c>
      <c r="D38" s="146"/>
      <c r="E38" s="33">
        <f t="shared" si="0"/>
        <v>1</v>
      </c>
    </row>
    <row r="39" spans="1:5" x14ac:dyDescent="0.25">
      <c r="A39" s="14" t="s">
        <v>512</v>
      </c>
      <c r="B39" s="31"/>
      <c r="C39" s="28"/>
      <c r="D39" s="146">
        <v>18</v>
      </c>
      <c r="E39" s="33"/>
    </row>
    <row r="40" spans="1:5" x14ac:dyDescent="0.25">
      <c r="A40" s="14" t="s">
        <v>512</v>
      </c>
      <c r="B40" s="35" t="s">
        <v>512</v>
      </c>
      <c r="C40" s="28">
        <v>11</v>
      </c>
      <c r="D40" s="145">
        <v>8</v>
      </c>
      <c r="E40" s="33">
        <f t="shared" si="0"/>
        <v>3</v>
      </c>
    </row>
    <row r="41" spans="1:5" x14ac:dyDescent="0.25">
      <c r="A41" s="14" t="s">
        <v>513</v>
      </c>
      <c r="B41" s="34" t="s">
        <v>513</v>
      </c>
      <c r="C41" s="28">
        <v>27</v>
      </c>
      <c r="D41" s="145">
        <v>18</v>
      </c>
      <c r="E41" s="33">
        <f t="shared" si="0"/>
        <v>9</v>
      </c>
    </row>
    <row r="42" spans="1:5" x14ac:dyDescent="0.25">
      <c r="A42" s="14" t="s">
        <v>664</v>
      </c>
      <c r="B42" s="34" t="s">
        <v>664</v>
      </c>
      <c r="C42" s="28">
        <v>3</v>
      </c>
      <c r="D42" s="145">
        <v>8</v>
      </c>
      <c r="E42" s="33">
        <f t="shared" si="0"/>
        <v>-5</v>
      </c>
    </row>
    <row r="43" spans="1:5" ht="30" x14ac:dyDescent="0.25">
      <c r="A43" s="14" t="s">
        <v>588</v>
      </c>
      <c r="B43" s="31"/>
      <c r="C43" s="28">
        <v>9</v>
      </c>
      <c r="D43" s="146"/>
      <c r="E43" s="33">
        <f t="shared" si="0"/>
        <v>9</v>
      </c>
    </row>
    <row r="44" spans="1:5" ht="15.75" thickBot="1" x14ac:dyDescent="0.3">
      <c r="A44" s="36" t="s">
        <v>611</v>
      </c>
      <c r="B44" s="37" t="s">
        <v>748</v>
      </c>
      <c r="C44" s="147">
        <v>4</v>
      </c>
      <c r="D44" s="148">
        <v>3</v>
      </c>
      <c r="E44" s="38">
        <f t="shared" si="0"/>
        <v>1</v>
      </c>
    </row>
    <row r="45" spans="1:5" ht="14.45" x14ac:dyDescent="0.3">
      <c r="A45" s="39"/>
      <c r="B45" s="40"/>
      <c r="C45" s="41">
        <f>SUM(C3:C44)</f>
        <v>267</v>
      </c>
      <c r="D45" s="41">
        <f>SUM(D3:D44)</f>
        <v>232</v>
      </c>
      <c r="E45" s="42"/>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C10" sqref="C10"/>
    </sheetView>
  </sheetViews>
  <sheetFormatPr defaultRowHeight="15" x14ac:dyDescent="0.25"/>
  <cols>
    <col min="1" max="1" width="28.85546875" style="2" bestFit="1" customWidth="1"/>
    <col min="2" max="2" width="10.5703125" style="2" customWidth="1"/>
    <col min="3" max="3" width="12.7109375" style="48" customWidth="1"/>
    <col min="4" max="4" width="37.7109375" style="2" customWidth="1"/>
    <col min="5" max="5" width="10.85546875" style="2" customWidth="1"/>
    <col min="6" max="6" width="10" style="2" customWidth="1"/>
  </cols>
  <sheetData>
    <row r="1" spans="1:6" ht="18.75" x14ac:dyDescent="0.3">
      <c r="A1" s="46" t="s">
        <v>749</v>
      </c>
      <c r="B1" s="43"/>
      <c r="C1" s="43"/>
      <c r="E1" s="43"/>
    </row>
    <row r="2" spans="1:6" ht="50.45" customHeight="1" x14ac:dyDescent="0.25">
      <c r="A2" s="26" t="s">
        <v>750</v>
      </c>
      <c r="B2" s="44" t="s">
        <v>751</v>
      </c>
      <c r="C2" s="124" t="s">
        <v>752</v>
      </c>
      <c r="D2" s="125" t="s">
        <v>750</v>
      </c>
      <c r="E2" s="124" t="s">
        <v>751</v>
      </c>
      <c r="F2" s="124" t="s">
        <v>752</v>
      </c>
    </row>
    <row r="3" spans="1:6" ht="32.450000000000003" customHeight="1" x14ac:dyDescent="0.25">
      <c r="A3" s="47" t="s">
        <v>56</v>
      </c>
      <c r="B3" s="45">
        <v>8</v>
      </c>
      <c r="C3" s="126">
        <v>2</v>
      </c>
      <c r="D3" s="127" t="s">
        <v>466</v>
      </c>
      <c r="E3" s="128">
        <v>17</v>
      </c>
      <c r="F3" s="126">
        <v>3</v>
      </c>
    </row>
    <row r="4" spans="1:6" ht="30" x14ac:dyDescent="0.25">
      <c r="A4" s="47" t="s">
        <v>212</v>
      </c>
      <c r="B4" s="45">
        <v>6</v>
      </c>
      <c r="C4" s="126">
        <v>5</v>
      </c>
      <c r="D4" s="127" t="s">
        <v>269</v>
      </c>
      <c r="E4" s="128">
        <v>10</v>
      </c>
      <c r="F4" s="126">
        <v>11</v>
      </c>
    </row>
    <row r="5" spans="1:6" x14ac:dyDescent="0.25">
      <c r="A5" s="47" t="s">
        <v>114</v>
      </c>
      <c r="B5" s="45">
        <v>22</v>
      </c>
      <c r="C5" s="126">
        <v>7</v>
      </c>
      <c r="D5" s="127" t="s">
        <v>164</v>
      </c>
      <c r="E5" s="128">
        <v>10</v>
      </c>
      <c r="F5" s="126">
        <v>4</v>
      </c>
    </row>
    <row r="6" spans="1:6" x14ac:dyDescent="0.25">
      <c r="A6" s="47" t="s">
        <v>189</v>
      </c>
      <c r="B6" s="45">
        <v>14</v>
      </c>
      <c r="C6" s="126">
        <v>7</v>
      </c>
      <c r="D6" s="127" t="s">
        <v>753</v>
      </c>
      <c r="E6" s="128">
        <v>2</v>
      </c>
      <c r="F6" s="126">
        <v>13</v>
      </c>
    </row>
    <row r="7" spans="1:6" ht="15" customHeight="1" x14ac:dyDescent="0.25">
      <c r="A7" s="47" t="s">
        <v>34</v>
      </c>
      <c r="B7" s="45">
        <v>6</v>
      </c>
      <c r="C7" s="126">
        <v>2</v>
      </c>
      <c r="D7" s="127" t="s">
        <v>386</v>
      </c>
      <c r="E7" s="128">
        <v>1</v>
      </c>
      <c r="F7" s="126">
        <v>2</v>
      </c>
    </row>
    <row r="8" spans="1:6" ht="15" customHeight="1" x14ac:dyDescent="0.25">
      <c r="A8" s="47" t="s">
        <v>72</v>
      </c>
      <c r="B8" s="45">
        <v>8</v>
      </c>
      <c r="C8" s="126">
        <v>5</v>
      </c>
      <c r="D8" s="129" t="s">
        <v>754</v>
      </c>
      <c r="E8" s="128">
        <v>3</v>
      </c>
      <c r="F8" s="123">
        <v>0</v>
      </c>
    </row>
    <row r="9" spans="1:6" ht="45" x14ac:dyDescent="0.25">
      <c r="A9" s="47" t="s">
        <v>121</v>
      </c>
      <c r="B9" s="45">
        <v>11</v>
      </c>
      <c r="C9" s="126">
        <v>31</v>
      </c>
      <c r="D9" s="127" t="s">
        <v>39</v>
      </c>
      <c r="E9" s="128">
        <v>21</v>
      </c>
      <c r="F9" s="126">
        <v>13</v>
      </c>
    </row>
    <row r="10" spans="1:6" ht="15" customHeight="1" x14ac:dyDescent="0.25">
      <c r="A10" s="47" t="s">
        <v>206</v>
      </c>
      <c r="B10" s="45">
        <v>18</v>
      </c>
      <c r="C10" s="126">
        <v>10</v>
      </c>
      <c r="D10" s="127" t="s">
        <v>150</v>
      </c>
      <c r="E10" s="128">
        <v>10</v>
      </c>
      <c r="F10" s="126">
        <v>3</v>
      </c>
    </row>
    <row r="11" spans="1:6" ht="15" customHeight="1" thickBot="1" x14ac:dyDescent="0.3">
      <c r="A11" s="131" t="s">
        <v>60</v>
      </c>
      <c r="B11" s="132">
        <v>5</v>
      </c>
      <c r="C11" s="133">
        <v>13</v>
      </c>
      <c r="D11" s="127" t="s">
        <v>491</v>
      </c>
      <c r="E11" s="128">
        <v>6</v>
      </c>
      <c r="F11" s="126">
        <v>2</v>
      </c>
    </row>
    <row r="12" spans="1:6" ht="20.45" customHeight="1" thickTop="1" x14ac:dyDescent="0.25">
      <c r="A12" s="140" t="s">
        <v>176</v>
      </c>
      <c r="B12" s="138">
        <v>14</v>
      </c>
      <c r="C12" s="141">
        <v>17</v>
      </c>
      <c r="D12" s="127" t="s">
        <v>418</v>
      </c>
      <c r="E12" s="130">
        <v>3</v>
      </c>
      <c r="F12" s="126">
        <v>5</v>
      </c>
    </row>
    <row r="13" spans="1:6" ht="15" customHeight="1" x14ac:dyDescent="0.25">
      <c r="A13" s="47" t="s">
        <v>134</v>
      </c>
      <c r="B13" s="45">
        <v>15</v>
      </c>
      <c r="C13" s="126">
        <v>3</v>
      </c>
      <c r="D13" s="127" t="s">
        <v>105</v>
      </c>
      <c r="E13" s="128">
        <v>7</v>
      </c>
      <c r="F13" s="126">
        <v>3</v>
      </c>
    </row>
    <row r="14" spans="1:6" ht="15" customHeight="1" x14ac:dyDescent="0.25">
      <c r="A14" s="47" t="s">
        <v>243</v>
      </c>
      <c r="B14" s="45">
        <v>11</v>
      </c>
      <c r="C14" s="126">
        <v>10</v>
      </c>
      <c r="D14" s="127" t="s">
        <v>755</v>
      </c>
      <c r="E14" s="128">
        <v>0</v>
      </c>
      <c r="F14" s="128">
        <v>0</v>
      </c>
    </row>
    <row r="15" spans="1:6" ht="15" customHeight="1" thickBot="1" x14ac:dyDescent="0.3">
      <c r="A15" s="134" t="s">
        <v>97</v>
      </c>
      <c r="B15" s="135">
        <v>9</v>
      </c>
      <c r="C15" s="136">
        <v>19</v>
      </c>
      <c r="D15" s="127" t="s">
        <v>328</v>
      </c>
      <c r="E15" s="128">
        <v>8</v>
      </c>
      <c r="F15" s="126">
        <v>3</v>
      </c>
    </row>
    <row r="16" spans="1:6" ht="19.899999999999999" customHeight="1" thickTop="1" x14ac:dyDescent="0.25">
      <c r="A16" s="137" t="s">
        <v>756</v>
      </c>
      <c r="B16" s="138">
        <v>3</v>
      </c>
      <c r="C16" s="139">
        <v>0</v>
      </c>
      <c r="D16" s="127" t="s">
        <v>88</v>
      </c>
      <c r="E16" s="128">
        <v>13</v>
      </c>
      <c r="F16" s="126">
        <v>6</v>
      </c>
    </row>
    <row r="17" spans="1:6" x14ac:dyDescent="0.25">
      <c r="A17" s="47" t="s">
        <v>187</v>
      </c>
      <c r="B17" s="45">
        <v>12</v>
      </c>
      <c r="C17" s="126">
        <v>13</v>
      </c>
      <c r="D17" s="127" t="s">
        <v>75</v>
      </c>
      <c r="E17" s="128">
        <v>26</v>
      </c>
      <c r="F17" s="126">
        <v>25</v>
      </c>
    </row>
    <row r="18" spans="1:6" x14ac:dyDescent="0.25">
      <c r="A18" s="47" t="s">
        <v>129</v>
      </c>
      <c r="B18" s="32">
        <v>7</v>
      </c>
      <c r="C18" s="126">
        <v>4</v>
      </c>
      <c r="D18" s="127" t="s">
        <v>402</v>
      </c>
      <c r="E18" s="128">
        <v>5</v>
      </c>
      <c r="F18" s="126">
        <v>5</v>
      </c>
    </row>
    <row r="19" spans="1:6" x14ac:dyDescent="0.25">
      <c r="A19" s="47" t="s">
        <v>12</v>
      </c>
      <c r="B19" s="45">
        <v>25</v>
      </c>
      <c r="C19" s="126">
        <v>17</v>
      </c>
      <c r="D19" s="127" t="s">
        <v>572</v>
      </c>
      <c r="E19" s="128">
        <v>1</v>
      </c>
      <c r="F19" s="126">
        <v>2</v>
      </c>
    </row>
  </sheetData>
  <hyperlinks>
    <hyperlink ref="C3" location="'eftir insp.flokkun'!C4:C5" tooltip="Smellið til að sjá nánar" display="'eftir insp.flokkun'!C4:C5"/>
    <hyperlink ref="C4" location="'eftir insp.flokkun'!C6:C10" tooltip="Smellið til að sjá nánar" display="'eftir insp.flokkun'!C6:C10"/>
    <hyperlink ref="C5" location="'eftir insp.flokkun'!C11:C17" tooltip="Smellið til að sjá nánar" display="'eftir insp.flokkun'!C11:C17"/>
    <hyperlink ref="C6" location="'eftir insp.flokkun'!C18:C24" tooltip="Smellið til að sjá nánar" display="'eftir insp.flokkun'!C18:C24"/>
    <hyperlink ref="C7" location="'eftir insp.flokkun'!C25:C26" tooltip="Smellið til að sjá nánar" display="'eftir insp.flokkun'!C25:C26"/>
    <hyperlink ref="C8" location="'eftir insp.flokkun'!C27:C31" tooltip="Smellið til að sjá nánar" display="'eftir insp.flokkun'!C27:C31"/>
    <hyperlink ref="C9" location="'eftir insp.flokkun'!C32:C62" tooltip="Smellið til að sjá nánar" display="'eftir insp.flokkun'!C32:C62"/>
    <hyperlink ref="C10" location="'eftir insp.flokkun'!C63:C72" tooltip="Smellið til að sjá nánar" display="'eftir insp.flokkun'!C63:C72"/>
    <hyperlink ref="C11" location="'eftir insp.flokkun'!C72:C85" tooltip="Smellið til að sjá nánar" display="'eftir insp.flokkun'!C72:C85"/>
    <hyperlink ref="C12" location="'eftir insp.flokkun'!C86:C102" tooltip="Smellið til að sjá nánar" display="'eftir insp.flokkun'!C86:C102"/>
    <hyperlink ref="C13" location="'eftir insp.flokkun'!C103:C105" tooltip="Smellið til að sjá nánar" display="'eftir insp.flokkun'!C103:C105"/>
    <hyperlink ref="C14" location="'eftir insp.flokkun'!C106:C115" tooltip="Smellið til að sjá nánar" display="'eftir insp.flokkun'!C106:C115"/>
    <hyperlink ref="C15" location="'eftir insp.flokkun'!C116:C134" tooltip="Smellið til að sjá nánar" display="'eftir insp.flokkun'!C116:C134"/>
    <hyperlink ref="C17" location="'eftir insp.flokkun'!C195:C207" tooltip="Smellið til að sjá nánar" display="'eftir insp.flokkun'!C195:C207"/>
    <hyperlink ref="F9" location="'eftir insp.flokkun'!C135:C147" tooltip="Smellið til að sjá nánar" display="'eftir insp.flokkun'!C135:C147"/>
    <hyperlink ref="F18" location="'eftir insp.flokkun'!C208:C212" tooltip="Smellið til að sjá nánar" display="'eftir insp.flokkun'!C208:C212"/>
    <hyperlink ref="C18" location="'eftir insp.flokkun'!C215:C218" tooltip="Smellið til að sjá nánar" display="'eftir insp.flokkun'!C215:C218"/>
    <hyperlink ref="C19" location="'eftir insp.flokkun'!C219:C235" tooltip="Smellið til að sjá nánar" display="'eftir insp.flokkun'!C219:C235"/>
    <hyperlink ref="F3" location="'eftir insp.flokkun'!C235:C238" tooltip="Smellið til að sjá nánar" display="'eftir insp.flokkun'!C235:C238"/>
    <hyperlink ref="F4" location="'eftir insp.flokkun'!C239:C249" tooltip="Smellið til að sjá nánar" display="'eftir insp.flokkun'!C239:C249"/>
    <hyperlink ref="F5" location="'eftir insp.flokkun'!C250:C253" tooltip="Smellið til að sjá nánar" display="'eftir insp.flokkun'!C250:C253"/>
    <hyperlink ref="F6" location="'eftir insp.flokkun'!C254:C266" tooltip="Smellið til að sjá nánar" display="'eftir insp.flokkun'!C254:C266"/>
    <hyperlink ref="F7" location="'eftir insp.flokkun'!C267:C268" tooltip="Smellið til að sjá nánar" display="'eftir insp.flokkun'!C267:C268"/>
    <hyperlink ref="F10" location="'eftir insp.flokkun'!C148:C150" tooltip="Smellið til að sjá nánar" display="'eftir insp.flokkun'!C148:C150"/>
    <hyperlink ref="F11" location="'eftir insp.flokkun'!C151:C152" tooltip="Smellið til að sjá nánar" display="'eftir insp.flokkun'!C151:C152"/>
    <hyperlink ref="F17" location="'eftir insp.flokkun'!C170:C194" tooltip="Smellið til að sjá nánar" display="'eftir insp.flokkun'!C170:C194"/>
    <hyperlink ref="F19" location="'eftir insp.flokkun'!C213:C214" tooltip="Smellið til að sjá nánar" display="'eftir insp.flokkun'!C213:C214"/>
    <hyperlink ref="F12" location="'eftir insp.flokkun'!C153:C157" tooltip="Smellið til að sjá nánar" display="'eftir insp.flokkun'!C153:C157"/>
    <hyperlink ref="F13" location="'eftir insp.flokkun'!C158:C160" tooltip="Smellið til að sjá nánar" display="'eftir insp.flokkun'!C158:C160"/>
    <hyperlink ref="F15" location="'eftir insp.flokkun'!C161:C163" tooltip="Smellið til að sjá nánar" display="'eftir insp.flokkun'!C161:C163"/>
    <hyperlink ref="F16" location="'eftir insp.flokkun'!C164:C169" tooltip="Smellið til að sjá nánar" display="'eftir insp.flokkun'!C164:C169"/>
  </hyperlinks>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8"/>
  <sheetViews>
    <sheetView workbookViewId="0">
      <selection activeCell="B169" sqref="B169"/>
    </sheetView>
  </sheetViews>
  <sheetFormatPr defaultRowHeight="15" x14ac:dyDescent="0.25"/>
  <cols>
    <col min="1" max="1" width="41.140625" style="191" customWidth="1"/>
    <col min="2" max="2" width="29.140625" customWidth="1"/>
    <col min="3" max="3" width="45.7109375" customWidth="1"/>
    <col min="4" max="8" width="5" style="9" customWidth="1"/>
    <col min="9" max="9" width="15.7109375" style="9" customWidth="1"/>
    <col min="10" max="10" width="42" style="9" customWidth="1"/>
    <col min="11" max="11" width="42.42578125" style="9" customWidth="1"/>
  </cols>
  <sheetData>
    <row r="1" spans="1:11" ht="180" x14ac:dyDescent="0.25">
      <c r="A1" s="189" t="s">
        <v>1</v>
      </c>
      <c r="B1" s="171" t="s">
        <v>10</v>
      </c>
      <c r="C1" s="171" t="s">
        <v>0</v>
      </c>
      <c r="D1" s="172" t="s">
        <v>2</v>
      </c>
      <c r="E1" s="172" t="s">
        <v>3</v>
      </c>
      <c r="F1" s="172" t="s">
        <v>4</v>
      </c>
      <c r="G1" s="172" t="s">
        <v>5</v>
      </c>
      <c r="H1" s="172" t="s">
        <v>6</v>
      </c>
      <c r="I1" s="172" t="s">
        <v>7</v>
      </c>
      <c r="J1" s="170" t="s">
        <v>8</v>
      </c>
      <c r="K1" s="170" t="s">
        <v>9</v>
      </c>
    </row>
    <row r="2" spans="1:11" s="5" customFormat="1" x14ac:dyDescent="0.25">
      <c r="A2" s="190" t="s">
        <v>35</v>
      </c>
      <c r="B2" s="174" t="s">
        <v>267</v>
      </c>
      <c r="C2" s="174" t="s">
        <v>234</v>
      </c>
      <c r="D2" s="173" t="s">
        <v>14</v>
      </c>
      <c r="E2" s="173" t="s">
        <v>14</v>
      </c>
      <c r="F2" s="173" t="s">
        <v>13</v>
      </c>
      <c r="G2" s="173" t="s">
        <v>14</v>
      </c>
      <c r="H2" s="173" t="s">
        <v>14</v>
      </c>
      <c r="I2" s="173" t="s">
        <v>15</v>
      </c>
      <c r="J2" s="173" t="s">
        <v>232</v>
      </c>
      <c r="K2" s="173" t="s">
        <v>235</v>
      </c>
    </row>
    <row r="3" spans="1:11" s="183" customFormat="1" ht="15.75" thickBot="1" x14ac:dyDescent="0.3">
      <c r="A3" s="182" t="s">
        <v>35</v>
      </c>
      <c r="B3" s="177" t="s">
        <v>267</v>
      </c>
      <c r="C3" s="177" t="s">
        <v>236</v>
      </c>
      <c r="D3" s="178" t="s">
        <v>14</v>
      </c>
      <c r="E3" s="178" t="s">
        <v>14</v>
      </c>
      <c r="F3" s="178" t="s">
        <v>13</v>
      </c>
      <c r="G3" s="178" t="s">
        <v>14</v>
      </c>
      <c r="H3" s="178" t="s">
        <v>14</v>
      </c>
      <c r="I3" s="178" t="s">
        <v>15</v>
      </c>
      <c r="J3" s="178" t="s">
        <v>232</v>
      </c>
      <c r="K3" s="178" t="s">
        <v>237</v>
      </c>
    </row>
    <row r="4" spans="1:11" s="52" customFormat="1" x14ac:dyDescent="0.25">
      <c r="A4" s="202" t="s">
        <v>56</v>
      </c>
      <c r="B4" s="174" t="s">
        <v>267</v>
      </c>
      <c r="C4" s="174" t="s">
        <v>249</v>
      </c>
      <c r="D4" s="173" t="s">
        <v>13</v>
      </c>
      <c r="E4" s="173" t="s">
        <v>14</v>
      </c>
      <c r="F4" s="173" t="s">
        <v>14</v>
      </c>
      <c r="G4" s="173" t="s">
        <v>14</v>
      </c>
      <c r="H4" s="173" t="s">
        <v>14</v>
      </c>
      <c r="I4" s="173" t="s">
        <v>125</v>
      </c>
      <c r="J4" s="173"/>
      <c r="K4" s="173" t="s">
        <v>250</v>
      </c>
    </row>
    <row r="5" spans="1:11" s="179" customFormat="1" ht="15.75" thickBot="1" x14ac:dyDescent="0.3">
      <c r="A5" s="204"/>
      <c r="B5" s="177" t="s">
        <v>513</v>
      </c>
      <c r="C5" s="177" t="s">
        <v>578</v>
      </c>
      <c r="D5" s="178" t="s">
        <v>253</v>
      </c>
      <c r="E5" s="178"/>
      <c r="F5" s="178" t="s">
        <v>14</v>
      </c>
      <c r="G5" s="178" t="s">
        <v>14</v>
      </c>
      <c r="H5" s="178" t="s">
        <v>14</v>
      </c>
      <c r="I5" s="178" t="s">
        <v>15</v>
      </c>
      <c r="J5" s="178" t="s">
        <v>579</v>
      </c>
      <c r="K5" s="178" t="s">
        <v>580</v>
      </c>
    </row>
    <row r="6" spans="1:11" s="54" customFormat="1" x14ac:dyDescent="0.25">
      <c r="A6" s="202" t="s">
        <v>212</v>
      </c>
      <c r="B6" s="174" t="s">
        <v>267</v>
      </c>
      <c r="C6" s="174" t="s">
        <v>211</v>
      </c>
      <c r="D6" s="173" t="s">
        <v>14</v>
      </c>
      <c r="E6" s="173" t="s">
        <v>14</v>
      </c>
      <c r="F6" s="173" t="s">
        <v>14</v>
      </c>
      <c r="G6" s="173" t="s">
        <v>14</v>
      </c>
      <c r="H6" s="173" t="s">
        <v>14</v>
      </c>
      <c r="I6" s="173" t="s">
        <v>15</v>
      </c>
      <c r="J6" s="173" t="s">
        <v>213</v>
      </c>
      <c r="K6" s="173"/>
    </row>
    <row r="7" spans="1:11" s="54" customFormat="1" x14ac:dyDescent="0.25">
      <c r="A7" s="202"/>
      <c r="B7" s="174" t="s">
        <v>355</v>
      </c>
      <c r="C7" s="175" t="s">
        <v>339</v>
      </c>
      <c r="D7" s="173" t="s">
        <v>306</v>
      </c>
      <c r="E7" s="173" t="s">
        <v>43</v>
      </c>
      <c r="F7" s="173" t="s">
        <v>43</v>
      </c>
      <c r="G7" s="173" t="s">
        <v>43</v>
      </c>
      <c r="H7" s="173" t="s">
        <v>43</v>
      </c>
      <c r="I7" s="173" t="s">
        <v>15</v>
      </c>
      <c r="J7" s="173" t="s">
        <v>340</v>
      </c>
      <c r="K7" s="173" t="s">
        <v>341</v>
      </c>
    </row>
    <row r="8" spans="1:11" s="54" customFormat="1" x14ac:dyDescent="0.25">
      <c r="A8" s="202"/>
      <c r="B8" s="174" t="s">
        <v>355</v>
      </c>
      <c r="C8" s="175" t="s">
        <v>348</v>
      </c>
      <c r="D8" s="173" t="s">
        <v>306</v>
      </c>
      <c r="E8" s="173" t="s">
        <v>43</v>
      </c>
      <c r="F8" s="173" t="s">
        <v>43</v>
      </c>
      <c r="G8" s="173" t="s">
        <v>43</v>
      </c>
      <c r="H8" s="173" t="s">
        <v>306</v>
      </c>
      <c r="I8" s="173" t="s">
        <v>15</v>
      </c>
      <c r="J8" s="173" t="s">
        <v>349</v>
      </c>
      <c r="K8" s="173" t="s">
        <v>350</v>
      </c>
    </row>
    <row r="9" spans="1:11" s="54" customFormat="1" x14ac:dyDescent="0.25">
      <c r="A9" s="202"/>
      <c r="B9" s="174" t="s">
        <v>357</v>
      </c>
      <c r="C9" s="174" t="s">
        <v>358</v>
      </c>
      <c r="D9" s="173" t="s">
        <v>14</v>
      </c>
      <c r="E9" s="173" t="s">
        <v>14</v>
      </c>
      <c r="F9" s="173" t="s">
        <v>14</v>
      </c>
      <c r="G9" s="173" t="s">
        <v>14</v>
      </c>
      <c r="H9" s="173" t="s">
        <v>13</v>
      </c>
      <c r="I9" s="173" t="s">
        <v>15</v>
      </c>
      <c r="J9" s="173" t="s">
        <v>359</v>
      </c>
      <c r="K9" s="173" t="s">
        <v>360</v>
      </c>
    </row>
    <row r="10" spans="1:11" s="54" customFormat="1" x14ac:dyDescent="0.25">
      <c r="A10" s="202"/>
      <c r="B10" s="174" t="s">
        <v>448</v>
      </c>
      <c r="C10" s="174" t="s">
        <v>458</v>
      </c>
      <c r="D10" s="173" t="s">
        <v>13</v>
      </c>
      <c r="E10" s="173" t="s">
        <v>14</v>
      </c>
      <c r="F10" s="173" t="s">
        <v>14</v>
      </c>
      <c r="G10" s="173" t="s">
        <v>13</v>
      </c>
      <c r="H10" s="173" t="s">
        <v>14</v>
      </c>
      <c r="I10" s="173" t="s">
        <v>15</v>
      </c>
      <c r="J10" s="173" t="s">
        <v>459</v>
      </c>
      <c r="K10" s="173" t="s">
        <v>460</v>
      </c>
    </row>
    <row r="11" spans="1:11" s="62" customFormat="1" x14ac:dyDescent="0.25">
      <c r="A11" s="202" t="s">
        <v>114</v>
      </c>
      <c r="B11" s="174" t="s">
        <v>117</v>
      </c>
      <c r="C11" s="174" t="s">
        <v>113</v>
      </c>
      <c r="D11" s="173" t="s">
        <v>13</v>
      </c>
      <c r="E11" s="173" t="s">
        <v>14</v>
      </c>
      <c r="F11" s="173" t="s">
        <v>13</v>
      </c>
      <c r="G11" s="173" t="s">
        <v>14</v>
      </c>
      <c r="H11" s="173" t="s">
        <v>14</v>
      </c>
      <c r="I11" s="173" t="s">
        <v>40</v>
      </c>
      <c r="J11" s="173" t="s">
        <v>115</v>
      </c>
      <c r="K11" s="173" t="s">
        <v>116</v>
      </c>
    </row>
    <row r="12" spans="1:11" s="62" customFormat="1" x14ac:dyDescent="0.25">
      <c r="A12" s="202"/>
      <c r="B12" s="174" t="s">
        <v>267</v>
      </c>
      <c r="C12" s="174" t="s">
        <v>209</v>
      </c>
      <c r="D12" s="173" t="s">
        <v>14</v>
      </c>
      <c r="E12" s="173" t="s">
        <v>14</v>
      </c>
      <c r="F12" s="173" t="s">
        <v>14</v>
      </c>
      <c r="G12" s="173" t="s">
        <v>14</v>
      </c>
      <c r="H12" s="173" t="s">
        <v>14</v>
      </c>
      <c r="I12" s="173" t="s">
        <v>15</v>
      </c>
      <c r="J12" s="173" t="s">
        <v>199</v>
      </c>
      <c r="K12" s="173"/>
    </row>
    <row r="13" spans="1:11" s="62" customFormat="1" x14ac:dyDescent="0.25">
      <c r="A13" s="202"/>
      <c r="B13" s="174" t="s">
        <v>267</v>
      </c>
      <c r="C13" s="174" t="s">
        <v>224</v>
      </c>
      <c r="D13" s="173" t="s">
        <v>14</v>
      </c>
      <c r="E13" s="173" t="s">
        <v>14</v>
      </c>
      <c r="F13" s="173" t="s">
        <v>14</v>
      </c>
      <c r="G13" s="173" t="s">
        <v>14</v>
      </c>
      <c r="H13" s="173" t="s">
        <v>14</v>
      </c>
      <c r="I13" s="173" t="s">
        <v>15</v>
      </c>
      <c r="J13" s="173" t="s">
        <v>225</v>
      </c>
      <c r="K13" s="173"/>
    </row>
    <row r="14" spans="1:11" s="62" customFormat="1" x14ac:dyDescent="0.25">
      <c r="A14" s="202"/>
      <c r="B14" s="174" t="s">
        <v>357</v>
      </c>
      <c r="C14" s="174" t="s">
        <v>361</v>
      </c>
      <c r="D14" s="173" t="s">
        <v>14</v>
      </c>
      <c r="E14" s="173" t="s">
        <v>14</v>
      </c>
      <c r="F14" s="173" t="s">
        <v>14</v>
      </c>
      <c r="G14" s="173" t="s">
        <v>14</v>
      </c>
      <c r="H14" s="173" t="s">
        <v>13</v>
      </c>
      <c r="I14" s="173" t="s">
        <v>15</v>
      </c>
      <c r="J14" s="173" t="s">
        <v>362</v>
      </c>
      <c r="K14" s="173" t="s">
        <v>363</v>
      </c>
    </row>
    <row r="15" spans="1:11" s="62" customFormat="1" x14ac:dyDescent="0.25">
      <c r="A15" s="202"/>
      <c r="B15" s="174" t="s">
        <v>512</v>
      </c>
      <c r="C15" s="174" t="s">
        <v>500</v>
      </c>
      <c r="D15" s="173" t="s">
        <v>253</v>
      </c>
      <c r="E15" s="173" t="s">
        <v>14</v>
      </c>
      <c r="F15" s="173" t="s">
        <v>13</v>
      </c>
      <c r="G15" s="173" t="s">
        <v>13</v>
      </c>
      <c r="H15" s="173" t="s">
        <v>13</v>
      </c>
      <c r="I15" s="173" t="s">
        <v>256</v>
      </c>
      <c r="J15" s="173"/>
      <c r="K15" s="173" t="s">
        <v>501</v>
      </c>
    </row>
    <row r="16" spans="1:11" s="62" customFormat="1" x14ac:dyDescent="0.25">
      <c r="A16" s="202"/>
      <c r="B16" s="174" t="s">
        <v>588</v>
      </c>
      <c r="C16" s="174" t="s">
        <v>500</v>
      </c>
      <c r="D16" s="173" t="s">
        <v>13</v>
      </c>
      <c r="E16" s="173" t="s">
        <v>14</v>
      </c>
      <c r="F16" s="173" t="s">
        <v>43</v>
      </c>
      <c r="G16" s="173" t="s">
        <v>13</v>
      </c>
      <c r="H16" s="173" t="s">
        <v>589</v>
      </c>
      <c r="I16" s="173" t="s">
        <v>15</v>
      </c>
      <c r="J16" s="173" t="s">
        <v>590</v>
      </c>
      <c r="K16" s="173" t="s">
        <v>591</v>
      </c>
    </row>
    <row r="17" spans="1:11" s="180" customFormat="1" ht="15.75" thickBot="1" x14ac:dyDescent="0.3">
      <c r="A17" s="204"/>
      <c r="B17" s="177" t="s">
        <v>588</v>
      </c>
      <c r="C17" s="177" t="s">
        <v>592</v>
      </c>
      <c r="D17" s="178" t="s">
        <v>13</v>
      </c>
      <c r="E17" s="178" t="s">
        <v>14</v>
      </c>
      <c r="F17" s="178" t="s">
        <v>43</v>
      </c>
      <c r="G17" s="178" t="s">
        <v>13</v>
      </c>
      <c r="H17" s="178" t="s">
        <v>589</v>
      </c>
      <c r="I17" s="178" t="s">
        <v>15</v>
      </c>
      <c r="J17" s="178" t="s">
        <v>593</v>
      </c>
      <c r="K17" s="178" t="s">
        <v>594</v>
      </c>
    </row>
    <row r="18" spans="1:11" s="61" customFormat="1" x14ac:dyDescent="0.25">
      <c r="A18" s="203" t="s">
        <v>189</v>
      </c>
      <c r="B18" s="174" t="s">
        <v>197</v>
      </c>
      <c r="C18" s="174" t="s">
        <v>188</v>
      </c>
      <c r="D18" s="173" t="s">
        <v>13</v>
      </c>
      <c r="E18" s="173" t="s">
        <v>14</v>
      </c>
      <c r="F18" s="173"/>
      <c r="G18" s="173" t="s">
        <v>14</v>
      </c>
      <c r="H18" s="173" t="s">
        <v>14</v>
      </c>
      <c r="I18" s="173" t="s">
        <v>15</v>
      </c>
      <c r="J18" s="173" t="s">
        <v>190</v>
      </c>
      <c r="K18" s="173" t="s">
        <v>191</v>
      </c>
    </row>
    <row r="19" spans="1:11" s="61" customFormat="1" x14ac:dyDescent="0.25">
      <c r="A19" s="202"/>
      <c r="B19" s="174" t="s">
        <v>197</v>
      </c>
      <c r="C19" s="174" t="s">
        <v>192</v>
      </c>
      <c r="D19" s="173" t="s">
        <v>13</v>
      </c>
      <c r="E19" s="173" t="s">
        <v>14</v>
      </c>
      <c r="F19" s="173"/>
      <c r="G19" s="173" t="s">
        <v>14</v>
      </c>
      <c r="H19" s="173" t="s">
        <v>14</v>
      </c>
      <c r="I19" s="173" t="s">
        <v>15</v>
      </c>
      <c r="J19" s="173" t="s">
        <v>190</v>
      </c>
      <c r="K19" s="173" t="s">
        <v>191</v>
      </c>
    </row>
    <row r="20" spans="1:11" s="61" customFormat="1" x14ac:dyDescent="0.25">
      <c r="A20" s="202"/>
      <c r="B20" s="174" t="s">
        <v>267</v>
      </c>
      <c r="C20" s="174" t="s">
        <v>207</v>
      </c>
      <c r="D20" s="173" t="s">
        <v>14</v>
      </c>
      <c r="E20" s="173" t="s">
        <v>14</v>
      </c>
      <c r="F20" s="173" t="s">
        <v>14</v>
      </c>
      <c r="G20" s="173" t="s">
        <v>14</v>
      </c>
      <c r="H20" s="173" t="s">
        <v>14</v>
      </c>
      <c r="I20" s="173" t="s">
        <v>15</v>
      </c>
      <c r="J20" s="173" t="s">
        <v>199</v>
      </c>
      <c r="K20" s="173"/>
    </row>
    <row r="21" spans="1:11" s="61" customFormat="1" x14ac:dyDescent="0.25">
      <c r="A21" s="202"/>
      <c r="B21" s="174" t="s">
        <v>267</v>
      </c>
      <c r="C21" s="174" t="s">
        <v>218</v>
      </c>
      <c r="D21" s="173" t="s">
        <v>14</v>
      </c>
      <c r="E21" s="173" t="s">
        <v>14</v>
      </c>
      <c r="F21" s="173" t="s">
        <v>14</v>
      </c>
      <c r="G21" s="173" t="s">
        <v>14</v>
      </c>
      <c r="H21" s="173" t="s">
        <v>14</v>
      </c>
      <c r="I21" s="173" t="s">
        <v>15</v>
      </c>
      <c r="J21" s="173" t="s">
        <v>199</v>
      </c>
      <c r="K21" s="173"/>
    </row>
    <row r="22" spans="1:11" s="61" customFormat="1" x14ac:dyDescent="0.25">
      <c r="A22" s="202"/>
      <c r="B22" s="174" t="s">
        <v>267</v>
      </c>
      <c r="C22" s="174" t="s">
        <v>231</v>
      </c>
      <c r="D22" s="173" t="s">
        <v>14</v>
      </c>
      <c r="E22" s="173" t="s">
        <v>14</v>
      </c>
      <c r="F22" s="173" t="s">
        <v>13</v>
      </c>
      <c r="G22" s="173" t="s">
        <v>14</v>
      </c>
      <c r="H22" s="173" t="s">
        <v>14</v>
      </c>
      <c r="I22" s="173" t="s">
        <v>15</v>
      </c>
      <c r="J22" s="173" t="s">
        <v>232</v>
      </c>
      <c r="K22" s="173" t="s">
        <v>233</v>
      </c>
    </row>
    <row r="23" spans="1:11" s="61" customFormat="1" x14ac:dyDescent="0.25">
      <c r="A23" s="202"/>
      <c r="B23" s="174" t="s">
        <v>267</v>
      </c>
      <c r="C23" s="174" t="s">
        <v>247</v>
      </c>
      <c r="D23" s="173" t="s">
        <v>13</v>
      </c>
      <c r="E23" s="173" t="s">
        <v>14</v>
      </c>
      <c r="F23" s="173" t="s">
        <v>14</v>
      </c>
      <c r="G23" s="173" t="s">
        <v>14</v>
      </c>
      <c r="H23" s="173" t="s">
        <v>14</v>
      </c>
      <c r="I23" s="173" t="s">
        <v>15</v>
      </c>
      <c r="J23" s="173"/>
      <c r="K23" s="173" t="s">
        <v>248</v>
      </c>
    </row>
    <row r="24" spans="1:11" s="181" customFormat="1" ht="15.75" thickBot="1" x14ac:dyDescent="0.3">
      <c r="A24" s="204"/>
      <c r="B24" s="177" t="s">
        <v>588</v>
      </c>
      <c r="C24" s="177" t="s">
        <v>610</v>
      </c>
      <c r="D24" s="178" t="s">
        <v>13</v>
      </c>
      <c r="E24" s="178" t="s">
        <v>13</v>
      </c>
      <c r="F24" s="178" t="s">
        <v>14</v>
      </c>
      <c r="G24" s="178" t="s">
        <v>14</v>
      </c>
      <c r="H24" s="178" t="s">
        <v>13</v>
      </c>
      <c r="I24" s="178" t="s">
        <v>15</v>
      </c>
      <c r="J24" s="178"/>
      <c r="K24" s="178"/>
    </row>
    <row r="25" spans="1:11" s="6" customFormat="1" x14ac:dyDescent="0.25">
      <c r="A25" s="203" t="s">
        <v>34</v>
      </c>
      <c r="B25" s="174" t="s">
        <v>267</v>
      </c>
      <c r="C25" s="174" t="s">
        <v>226</v>
      </c>
      <c r="D25" s="173" t="s">
        <v>14</v>
      </c>
      <c r="E25" s="173" t="s">
        <v>13</v>
      </c>
      <c r="F25" s="173" t="s">
        <v>14</v>
      </c>
      <c r="G25" s="173" t="s">
        <v>13</v>
      </c>
      <c r="H25" s="173" t="s">
        <v>14</v>
      </c>
      <c r="I25" s="173" t="s">
        <v>15</v>
      </c>
      <c r="J25" s="173" t="s">
        <v>227</v>
      </c>
      <c r="K25" s="173" t="s">
        <v>228</v>
      </c>
    </row>
    <row r="26" spans="1:11" s="184" customFormat="1" ht="15.75" thickBot="1" x14ac:dyDescent="0.3">
      <c r="A26" s="204"/>
      <c r="B26" s="177" t="s">
        <v>611</v>
      </c>
      <c r="C26" s="177" t="s">
        <v>612</v>
      </c>
      <c r="D26" s="178" t="s">
        <v>14</v>
      </c>
      <c r="E26" s="178" t="s">
        <v>14</v>
      </c>
      <c r="F26" s="178" t="s">
        <v>14</v>
      </c>
      <c r="G26" s="178" t="s">
        <v>14</v>
      </c>
      <c r="H26" s="178" t="s">
        <v>14</v>
      </c>
      <c r="I26" s="178" t="s">
        <v>15</v>
      </c>
      <c r="J26" s="178" t="s">
        <v>613</v>
      </c>
      <c r="K26" s="178"/>
    </row>
    <row r="27" spans="1:11" s="72" customFormat="1" x14ac:dyDescent="0.25">
      <c r="A27" s="203" t="s">
        <v>72</v>
      </c>
      <c r="B27" s="174" t="s">
        <v>70</v>
      </c>
      <c r="C27" s="174" t="s">
        <v>71</v>
      </c>
      <c r="D27" s="173" t="s">
        <v>13</v>
      </c>
      <c r="E27" s="173" t="s">
        <v>13</v>
      </c>
      <c r="F27" s="173" t="s">
        <v>14</v>
      </c>
      <c r="G27" s="173" t="s">
        <v>14</v>
      </c>
      <c r="H27" s="173" t="s">
        <v>13</v>
      </c>
      <c r="I27" s="173" t="s">
        <v>15</v>
      </c>
      <c r="J27" s="173"/>
      <c r="K27" s="173" t="s">
        <v>73</v>
      </c>
    </row>
    <row r="28" spans="1:11" s="72" customFormat="1" x14ac:dyDescent="0.25">
      <c r="A28" s="202"/>
      <c r="B28" s="174" t="s">
        <v>172</v>
      </c>
      <c r="C28" s="174" t="s">
        <v>170</v>
      </c>
      <c r="D28" s="173" t="s">
        <v>14</v>
      </c>
      <c r="E28" s="173" t="s">
        <v>14</v>
      </c>
      <c r="F28" s="173" t="s">
        <v>167</v>
      </c>
      <c r="G28" s="173" t="s">
        <v>13</v>
      </c>
      <c r="H28" s="173" t="s">
        <v>14</v>
      </c>
      <c r="I28" s="173" t="s">
        <v>15</v>
      </c>
      <c r="J28" s="173" t="s">
        <v>171</v>
      </c>
      <c r="K28" s="173" t="s">
        <v>148</v>
      </c>
    </row>
    <row r="29" spans="1:11" s="72" customFormat="1" x14ac:dyDescent="0.25">
      <c r="A29" s="202"/>
      <c r="B29" s="174" t="s">
        <v>448</v>
      </c>
      <c r="C29" s="174" t="s">
        <v>461</v>
      </c>
      <c r="D29" s="173" t="s">
        <v>13</v>
      </c>
      <c r="E29" s="173" t="s">
        <v>14</v>
      </c>
      <c r="F29" s="173" t="s">
        <v>14</v>
      </c>
      <c r="G29" s="173" t="s">
        <v>13</v>
      </c>
      <c r="H29" s="173" t="s">
        <v>14</v>
      </c>
      <c r="I29" s="173" t="s">
        <v>15</v>
      </c>
      <c r="J29" s="173" t="s">
        <v>462</v>
      </c>
      <c r="K29" s="173" t="s">
        <v>463</v>
      </c>
    </row>
    <row r="30" spans="1:11" s="72" customFormat="1" x14ac:dyDescent="0.25">
      <c r="A30" s="202"/>
      <c r="B30" s="174" t="s">
        <v>588</v>
      </c>
      <c r="C30" s="174" t="s">
        <v>604</v>
      </c>
      <c r="D30" s="173" t="s">
        <v>13</v>
      </c>
      <c r="E30" s="173" t="s">
        <v>14</v>
      </c>
      <c r="F30" s="173" t="s">
        <v>14</v>
      </c>
      <c r="G30" s="173" t="s">
        <v>13</v>
      </c>
      <c r="H30" s="173" t="s">
        <v>13</v>
      </c>
      <c r="I30" s="173" t="s">
        <v>15</v>
      </c>
      <c r="J30" s="173" t="s">
        <v>605</v>
      </c>
      <c r="K30" s="173" t="s">
        <v>606</v>
      </c>
    </row>
    <row r="31" spans="1:11" s="185" customFormat="1" ht="15.75" thickBot="1" x14ac:dyDescent="0.3">
      <c r="A31" s="204"/>
      <c r="B31" s="177" t="s">
        <v>611</v>
      </c>
      <c r="C31" s="177" t="s">
        <v>614</v>
      </c>
      <c r="D31" s="178" t="s">
        <v>14</v>
      </c>
      <c r="E31" s="178" t="s">
        <v>253</v>
      </c>
      <c r="F31" s="178" t="s">
        <v>14</v>
      </c>
      <c r="G31" s="178" t="s">
        <v>14</v>
      </c>
      <c r="H31" s="178" t="s">
        <v>14</v>
      </c>
      <c r="I31" s="178" t="s">
        <v>15</v>
      </c>
      <c r="J31" s="178" t="s">
        <v>615</v>
      </c>
      <c r="K31" s="178"/>
    </row>
    <row r="32" spans="1:11" s="85" customFormat="1" x14ac:dyDescent="0.25">
      <c r="A32" s="203" t="s">
        <v>121</v>
      </c>
      <c r="B32" s="174" t="s">
        <v>126</v>
      </c>
      <c r="C32" s="174" t="s">
        <v>120</v>
      </c>
      <c r="D32" s="173" t="s">
        <v>14</v>
      </c>
      <c r="E32" s="173" t="s">
        <v>14</v>
      </c>
      <c r="F32" s="173" t="s">
        <v>14</v>
      </c>
      <c r="G32" s="173" t="s">
        <v>14</v>
      </c>
      <c r="H32" s="173" t="s">
        <v>14</v>
      </c>
      <c r="I32" s="173" t="s">
        <v>582</v>
      </c>
      <c r="J32" s="173" t="s">
        <v>122</v>
      </c>
      <c r="K32" s="173"/>
    </row>
    <row r="33" spans="1:11" s="85" customFormat="1" x14ac:dyDescent="0.25">
      <c r="A33" s="202"/>
      <c r="B33" s="174" t="s">
        <v>126</v>
      </c>
      <c r="C33" s="174" t="s">
        <v>123</v>
      </c>
      <c r="D33" s="173" t="s">
        <v>14</v>
      </c>
      <c r="E33" s="173" t="s">
        <v>14</v>
      </c>
      <c r="F33" s="173" t="s">
        <v>14</v>
      </c>
      <c r="G33" s="173" t="s">
        <v>14</v>
      </c>
      <c r="H33" s="173" t="s">
        <v>14</v>
      </c>
      <c r="I33" s="173" t="s">
        <v>582</v>
      </c>
      <c r="J33" s="173" t="s">
        <v>122</v>
      </c>
      <c r="K33" s="173"/>
    </row>
    <row r="34" spans="1:11" s="85" customFormat="1" x14ac:dyDescent="0.25">
      <c r="A34" s="202"/>
      <c r="B34" s="174" t="s">
        <v>126</v>
      </c>
      <c r="C34" s="174" t="s">
        <v>124</v>
      </c>
      <c r="D34" s="173" t="s">
        <v>14</v>
      </c>
      <c r="E34" s="173" t="s">
        <v>14</v>
      </c>
      <c r="F34" s="173" t="s">
        <v>14</v>
      </c>
      <c r="G34" s="173" t="s">
        <v>14</v>
      </c>
      <c r="H34" s="173" t="s">
        <v>14</v>
      </c>
      <c r="I34" s="173" t="s">
        <v>125</v>
      </c>
      <c r="J34" s="173" t="s">
        <v>122</v>
      </c>
      <c r="K34" s="173"/>
    </row>
    <row r="35" spans="1:11" s="85" customFormat="1" x14ac:dyDescent="0.25">
      <c r="A35" s="202"/>
      <c r="B35" s="174" t="s">
        <v>267</v>
      </c>
      <c r="C35" s="174" t="s">
        <v>198</v>
      </c>
      <c r="D35" s="173" t="s">
        <v>14</v>
      </c>
      <c r="E35" s="173" t="s">
        <v>14</v>
      </c>
      <c r="F35" s="173" t="s">
        <v>14</v>
      </c>
      <c r="G35" s="173" t="s">
        <v>14</v>
      </c>
      <c r="H35" s="173" t="s">
        <v>14</v>
      </c>
      <c r="I35" s="173" t="s">
        <v>15</v>
      </c>
      <c r="J35" s="173" t="s">
        <v>199</v>
      </c>
      <c r="K35" s="173" t="s">
        <v>200</v>
      </c>
    </row>
    <row r="36" spans="1:11" s="85" customFormat="1" x14ac:dyDescent="0.25">
      <c r="A36" s="202"/>
      <c r="B36" s="174" t="s">
        <v>267</v>
      </c>
      <c r="C36" s="174" t="s">
        <v>215</v>
      </c>
      <c r="D36" s="173" t="s">
        <v>14</v>
      </c>
      <c r="E36" s="173" t="s">
        <v>14</v>
      </c>
      <c r="F36" s="173" t="s">
        <v>14</v>
      </c>
      <c r="G36" s="173" t="s">
        <v>14</v>
      </c>
      <c r="H36" s="173" t="s">
        <v>14</v>
      </c>
      <c r="I36" s="173" t="s">
        <v>15</v>
      </c>
      <c r="J36" s="173" t="s">
        <v>199</v>
      </c>
      <c r="K36" s="173"/>
    </row>
    <row r="37" spans="1:11" s="85" customFormat="1" x14ac:dyDescent="0.25">
      <c r="A37" s="202"/>
      <c r="B37" s="174" t="s">
        <v>267</v>
      </c>
      <c r="C37" s="174" t="s">
        <v>229</v>
      </c>
      <c r="D37" s="173" t="s">
        <v>14</v>
      </c>
      <c r="E37" s="173" t="s">
        <v>14</v>
      </c>
      <c r="F37" s="173" t="s">
        <v>14</v>
      </c>
      <c r="G37" s="173" t="s">
        <v>14</v>
      </c>
      <c r="H37" s="173" t="s">
        <v>14</v>
      </c>
      <c r="I37" s="173" t="s">
        <v>15</v>
      </c>
      <c r="J37" s="173" t="s">
        <v>199</v>
      </c>
      <c r="K37" s="173" t="s">
        <v>230</v>
      </c>
    </row>
    <row r="38" spans="1:11" s="85" customFormat="1" x14ac:dyDescent="0.25">
      <c r="A38" s="202"/>
      <c r="B38" s="174" t="s">
        <v>278</v>
      </c>
      <c r="C38" s="174" t="s">
        <v>276</v>
      </c>
      <c r="D38" s="173" t="s">
        <v>13</v>
      </c>
      <c r="E38" s="173" t="s">
        <v>14</v>
      </c>
      <c r="F38" s="173" t="s">
        <v>14</v>
      </c>
      <c r="G38" s="173" t="s">
        <v>13</v>
      </c>
      <c r="H38" s="173" t="s">
        <v>14</v>
      </c>
      <c r="I38" s="173" t="s">
        <v>15</v>
      </c>
      <c r="J38" s="173" t="s">
        <v>277</v>
      </c>
      <c r="K38" s="173"/>
    </row>
    <row r="39" spans="1:11" s="85" customFormat="1" x14ac:dyDescent="0.25">
      <c r="A39" s="202"/>
      <c r="B39" s="174" t="s">
        <v>442</v>
      </c>
      <c r="C39" s="174" t="s">
        <v>436</v>
      </c>
      <c r="D39" s="173"/>
      <c r="E39" s="173" t="s">
        <v>14</v>
      </c>
      <c r="F39" s="173" t="s">
        <v>14</v>
      </c>
      <c r="G39" s="173" t="s">
        <v>14</v>
      </c>
      <c r="H39" s="173" t="s">
        <v>14</v>
      </c>
      <c r="I39" s="173" t="s">
        <v>403</v>
      </c>
      <c r="J39" s="173"/>
      <c r="K39" s="173"/>
    </row>
    <row r="40" spans="1:11" s="85" customFormat="1" x14ac:dyDescent="0.25">
      <c r="A40" s="202"/>
      <c r="B40" s="174" t="s">
        <v>442</v>
      </c>
      <c r="C40" s="174" t="s">
        <v>439</v>
      </c>
      <c r="D40" s="173"/>
      <c r="E40" s="173" t="s">
        <v>14</v>
      </c>
      <c r="F40" s="173" t="s">
        <v>14</v>
      </c>
      <c r="G40" s="173" t="s">
        <v>14</v>
      </c>
      <c r="H40" s="173" t="s">
        <v>14</v>
      </c>
      <c r="I40" s="173" t="s">
        <v>256</v>
      </c>
      <c r="J40" s="173"/>
      <c r="K40" s="173"/>
    </row>
    <row r="41" spans="1:11" s="85" customFormat="1" x14ac:dyDescent="0.25">
      <c r="A41" s="202"/>
      <c r="B41" s="174" t="s">
        <v>513</v>
      </c>
      <c r="C41" s="174" t="s">
        <v>514</v>
      </c>
      <c r="D41" s="173" t="s">
        <v>13</v>
      </c>
      <c r="E41" s="173" t="s">
        <v>14</v>
      </c>
      <c r="F41" s="173" t="s">
        <v>13</v>
      </c>
      <c r="G41" s="173" t="s">
        <v>14</v>
      </c>
      <c r="H41" s="173" t="s">
        <v>14</v>
      </c>
      <c r="I41" s="173" t="s">
        <v>15</v>
      </c>
      <c r="J41" s="173" t="s">
        <v>515</v>
      </c>
      <c r="K41" s="173" t="s">
        <v>516</v>
      </c>
    </row>
    <row r="42" spans="1:11" s="85" customFormat="1" x14ac:dyDescent="0.25">
      <c r="A42" s="202"/>
      <c r="B42" s="174" t="s">
        <v>513</v>
      </c>
      <c r="C42" s="174" t="s">
        <v>517</v>
      </c>
      <c r="D42" s="173" t="s">
        <v>253</v>
      </c>
      <c r="E42" s="173" t="s">
        <v>14</v>
      </c>
      <c r="F42" s="173" t="s">
        <v>14</v>
      </c>
      <c r="G42" s="173" t="s">
        <v>14</v>
      </c>
      <c r="H42" s="173" t="s">
        <v>14</v>
      </c>
      <c r="I42" s="173" t="s">
        <v>15</v>
      </c>
      <c r="J42" s="173" t="s">
        <v>518</v>
      </c>
      <c r="K42" s="173" t="s">
        <v>519</v>
      </c>
    </row>
    <row r="43" spans="1:11" s="85" customFormat="1" x14ac:dyDescent="0.25">
      <c r="A43" s="202"/>
      <c r="B43" s="174" t="s">
        <v>513</v>
      </c>
      <c r="C43" s="174" t="s">
        <v>520</v>
      </c>
      <c r="D43" s="173" t="s">
        <v>13</v>
      </c>
      <c r="E43" s="173" t="s">
        <v>14</v>
      </c>
      <c r="F43" s="173" t="s">
        <v>14</v>
      </c>
      <c r="G43" s="173" t="s">
        <v>14</v>
      </c>
      <c r="H43" s="173" t="s">
        <v>14</v>
      </c>
      <c r="I43" s="173" t="s">
        <v>15</v>
      </c>
      <c r="J43" s="173" t="s">
        <v>521</v>
      </c>
      <c r="K43" s="173" t="s">
        <v>522</v>
      </c>
    </row>
    <row r="44" spans="1:11" s="85" customFormat="1" x14ac:dyDescent="0.25">
      <c r="A44" s="202"/>
      <c r="B44" s="174" t="s">
        <v>513</v>
      </c>
      <c r="C44" s="174" t="s">
        <v>523</v>
      </c>
      <c r="D44" s="173" t="s">
        <v>253</v>
      </c>
      <c r="E44" s="173" t="s">
        <v>14</v>
      </c>
      <c r="F44" s="173" t="s">
        <v>14</v>
      </c>
      <c r="G44" s="173" t="s">
        <v>14</v>
      </c>
      <c r="H44" s="173" t="s">
        <v>14</v>
      </c>
      <c r="I44" s="173" t="s">
        <v>15</v>
      </c>
      <c r="J44" s="173" t="s">
        <v>524</v>
      </c>
      <c r="K44" s="173" t="s">
        <v>525</v>
      </c>
    </row>
    <row r="45" spans="1:11" s="85" customFormat="1" x14ac:dyDescent="0.25">
      <c r="A45" s="202"/>
      <c r="B45" s="174" t="s">
        <v>513</v>
      </c>
      <c r="C45" s="174" t="s">
        <v>526</v>
      </c>
      <c r="D45" s="173" t="s">
        <v>253</v>
      </c>
      <c r="E45" s="173" t="s">
        <v>14</v>
      </c>
      <c r="F45" s="173" t="s">
        <v>14</v>
      </c>
      <c r="G45" s="173" t="s">
        <v>14</v>
      </c>
      <c r="H45" s="173" t="s">
        <v>14</v>
      </c>
      <c r="I45" s="173" t="s">
        <v>15</v>
      </c>
      <c r="J45" s="173" t="s">
        <v>527</v>
      </c>
      <c r="K45" s="173" t="s">
        <v>528</v>
      </c>
    </row>
    <row r="46" spans="1:11" s="85" customFormat="1" x14ac:dyDescent="0.25">
      <c r="A46" s="202"/>
      <c r="B46" s="174" t="s">
        <v>513</v>
      </c>
      <c r="C46" s="174" t="s">
        <v>531</v>
      </c>
      <c r="D46" s="173" t="s">
        <v>253</v>
      </c>
      <c r="E46" s="173" t="s">
        <v>14</v>
      </c>
      <c r="F46" s="173" t="s">
        <v>14</v>
      </c>
      <c r="G46" s="173" t="s">
        <v>14</v>
      </c>
      <c r="H46" s="173" t="s">
        <v>14</v>
      </c>
      <c r="I46" s="173" t="s">
        <v>15</v>
      </c>
      <c r="J46" s="173" t="s">
        <v>532</v>
      </c>
      <c r="K46" s="173" t="s">
        <v>533</v>
      </c>
    </row>
    <row r="47" spans="1:11" s="85" customFormat="1" x14ac:dyDescent="0.25">
      <c r="A47" s="202"/>
      <c r="B47" s="174" t="s">
        <v>513</v>
      </c>
      <c r="C47" s="174" t="s">
        <v>534</v>
      </c>
      <c r="D47" s="173" t="s">
        <v>253</v>
      </c>
      <c r="E47" s="173" t="s">
        <v>14</v>
      </c>
      <c r="F47" s="173" t="s">
        <v>14</v>
      </c>
      <c r="G47" s="173" t="s">
        <v>14</v>
      </c>
      <c r="H47" s="173" t="s">
        <v>14</v>
      </c>
      <c r="I47" s="173" t="s">
        <v>15</v>
      </c>
      <c r="J47" s="173" t="s">
        <v>527</v>
      </c>
      <c r="K47" s="173" t="s">
        <v>535</v>
      </c>
    </row>
    <row r="48" spans="1:11" s="85" customFormat="1" x14ac:dyDescent="0.25">
      <c r="A48" s="202"/>
      <c r="B48" s="174" t="s">
        <v>513</v>
      </c>
      <c r="C48" s="174" t="s">
        <v>536</v>
      </c>
      <c r="D48" s="173" t="s">
        <v>253</v>
      </c>
      <c r="E48" s="173" t="s">
        <v>266</v>
      </c>
      <c r="F48" s="173" t="s">
        <v>14</v>
      </c>
      <c r="G48" s="173" t="s">
        <v>14</v>
      </c>
      <c r="H48" s="173" t="s">
        <v>14</v>
      </c>
      <c r="I48" s="173" t="s">
        <v>15</v>
      </c>
      <c r="J48" s="173" t="s">
        <v>527</v>
      </c>
      <c r="K48" s="173" t="s">
        <v>537</v>
      </c>
    </row>
    <row r="49" spans="1:11" s="85" customFormat="1" x14ac:dyDescent="0.25">
      <c r="A49" s="202"/>
      <c r="B49" s="174" t="s">
        <v>513</v>
      </c>
      <c r="C49" s="174" t="s">
        <v>538</v>
      </c>
      <c r="D49" s="173" t="s">
        <v>253</v>
      </c>
      <c r="E49" s="173"/>
      <c r="F49" s="173" t="s">
        <v>14</v>
      </c>
      <c r="G49" s="173" t="s">
        <v>14</v>
      </c>
      <c r="H49" s="173" t="s">
        <v>14</v>
      </c>
      <c r="I49" s="173" t="s">
        <v>15</v>
      </c>
      <c r="J49" s="173" t="s">
        <v>527</v>
      </c>
      <c r="K49" s="173" t="s">
        <v>539</v>
      </c>
    </row>
    <row r="50" spans="1:11" s="85" customFormat="1" x14ac:dyDescent="0.25">
      <c r="A50" s="202"/>
      <c r="B50" s="174" t="s">
        <v>513</v>
      </c>
      <c r="C50" s="174" t="s">
        <v>540</v>
      </c>
      <c r="D50" s="173" t="s">
        <v>253</v>
      </c>
      <c r="E50" s="173" t="s">
        <v>14</v>
      </c>
      <c r="F50" s="173" t="s">
        <v>14</v>
      </c>
      <c r="G50" s="173" t="s">
        <v>14</v>
      </c>
      <c r="H50" s="173" t="s">
        <v>14</v>
      </c>
      <c r="I50" s="173" t="s">
        <v>15</v>
      </c>
      <c r="J50" s="173" t="s">
        <v>527</v>
      </c>
      <c r="K50" s="173" t="s">
        <v>541</v>
      </c>
    </row>
    <row r="51" spans="1:11" s="85" customFormat="1" x14ac:dyDescent="0.25">
      <c r="A51" s="202"/>
      <c r="B51" s="174" t="s">
        <v>513</v>
      </c>
      <c r="C51" s="174" t="s">
        <v>542</v>
      </c>
      <c r="D51" s="173" t="s">
        <v>253</v>
      </c>
      <c r="E51" s="173" t="s">
        <v>14</v>
      </c>
      <c r="F51" s="173" t="s">
        <v>14</v>
      </c>
      <c r="G51" s="173" t="s">
        <v>14</v>
      </c>
      <c r="H51" s="173" t="s">
        <v>14</v>
      </c>
      <c r="I51" s="173" t="s">
        <v>15</v>
      </c>
      <c r="J51" s="173" t="s">
        <v>543</v>
      </c>
      <c r="K51" s="173" t="s">
        <v>544</v>
      </c>
    </row>
    <row r="52" spans="1:11" s="85" customFormat="1" x14ac:dyDescent="0.25">
      <c r="A52" s="202"/>
      <c r="B52" s="174" t="s">
        <v>513</v>
      </c>
      <c r="C52" s="174" t="s">
        <v>545</v>
      </c>
      <c r="D52" s="173" t="s">
        <v>253</v>
      </c>
      <c r="E52" s="173" t="s">
        <v>14</v>
      </c>
      <c r="F52" s="173" t="s">
        <v>14</v>
      </c>
      <c r="G52" s="173" t="s">
        <v>14</v>
      </c>
      <c r="H52" s="173" t="s">
        <v>14</v>
      </c>
      <c r="I52" s="173" t="s">
        <v>15</v>
      </c>
      <c r="J52" s="173" t="s">
        <v>546</v>
      </c>
      <c r="K52" s="173" t="s">
        <v>547</v>
      </c>
    </row>
    <row r="53" spans="1:11" s="85" customFormat="1" x14ac:dyDescent="0.25">
      <c r="A53" s="202"/>
      <c r="B53" s="174" t="s">
        <v>513</v>
      </c>
      <c r="C53" s="174" t="s">
        <v>548</v>
      </c>
      <c r="D53" s="173" t="s">
        <v>253</v>
      </c>
      <c r="E53" s="173" t="s">
        <v>14</v>
      </c>
      <c r="F53" s="173" t="s">
        <v>14</v>
      </c>
      <c r="G53" s="173" t="s">
        <v>14</v>
      </c>
      <c r="H53" s="173" t="s">
        <v>14</v>
      </c>
      <c r="I53" s="173" t="s">
        <v>15</v>
      </c>
      <c r="J53" s="173"/>
      <c r="K53" s="173" t="s">
        <v>549</v>
      </c>
    </row>
    <row r="54" spans="1:11" s="85" customFormat="1" x14ac:dyDescent="0.25">
      <c r="A54" s="202"/>
      <c r="B54" s="174" t="s">
        <v>513</v>
      </c>
      <c r="C54" s="174" t="s">
        <v>550</v>
      </c>
      <c r="D54" s="173" t="s">
        <v>253</v>
      </c>
      <c r="E54" s="173" t="s">
        <v>14</v>
      </c>
      <c r="F54" s="173" t="s">
        <v>14</v>
      </c>
      <c r="G54" s="173" t="s">
        <v>14</v>
      </c>
      <c r="H54" s="173" t="s">
        <v>14</v>
      </c>
      <c r="I54" s="173" t="s">
        <v>15</v>
      </c>
      <c r="J54" s="173" t="s">
        <v>551</v>
      </c>
      <c r="K54" s="173" t="s">
        <v>552</v>
      </c>
    </row>
    <row r="55" spans="1:11" s="85" customFormat="1" x14ac:dyDescent="0.25">
      <c r="A55" s="202"/>
      <c r="B55" s="174" t="s">
        <v>513</v>
      </c>
      <c r="C55" s="174" t="s">
        <v>553</v>
      </c>
      <c r="D55" s="173" t="s">
        <v>253</v>
      </c>
      <c r="E55" s="173" t="s">
        <v>14</v>
      </c>
      <c r="F55" s="173" t="s">
        <v>14</v>
      </c>
      <c r="G55" s="173" t="s">
        <v>14</v>
      </c>
      <c r="H55" s="173"/>
      <c r="I55" s="173" t="s">
        <v>15</v>
      </c>
      <c r="J55" s="173" t="s">
        <v>551</v>
      </c>
      <c r="K55" s="173" t="s">
        <v>554</v>
      </c>
    </row>
    <row r="56" spans="1:11" s="85" customFormat="1" x14ac:dyDescent="0.25">
      <c r="A56" s="202"/>
      <c r="B56" s="174" t="s">
        <v>513</v>
      </c>
      <c r="C56" s="174" t="s">
        <v>555</v>
      </c>
      <c r="D56" s="173" t="s">
        <v>253</v>
      </c>
      <c r="E56" s="173" t="s">
        <v>14</v>
      </c>
      <c r="F56" s="173" t="s">
        <v>14</v>
      </c>
      <c r="G56" s="173" t="s">
        <v>14</v>
      </c>
      <c r="H56" s="173" t="s">
        <v>14</v>
      </c>
      <c r="I56" s="173" t="s">
        <v>15</v>
      </c>
      <c r="J56" s="173" t="s">
        <v>556</v>
      </c>
      <c r="K56" s="173" t="s">
        <v>557</v>
      </c>
    </row>
    <row r="57" spans="1:11" s="85" customFormat="1" x14ac:dyDescent="0.25">
      <c r="A57" s="202"/>
      <c r="B57" s="174" t="s">
        <v>513</v>
      </c>
      <c r="C57" s="174" t="s">
        <v>558</v>
      </c>
      <c r="D57" s="173" t="s">
        <v>253</v>
      </c>
      <c r="E57" s="173" t="s">
        <v>14</v>
      </c>
      <c r="F57" s="173" t="s">
        <v>14</v>
      </c>
      <c r="G57" s="173" t="s">
        <v>14</v>
      </c>
      <c r="H57" s="173" t="s">
        <v>14</v>
      </c>
      <c r="I57" s="173" t="s">
        <v>15</v>
      </c>
      <c r="J57" s="173"/>
      <c r="K57" s="173" t="s">
        <v>559</v>
      </c>
    </row>
    <row r="58" spans="1:11" s="85" customFormat="1" x14ac:dyDescent="0.25">
      <c r="A58" s="202"/>
      <c r="B58" s="174" t="s">
        <v>513</v>
      </c>
      <c r="C58" s="174" t="s">
        <v>569</v>
      </c>
      <c r="D58" s="173" t="s">
        <v>253</v>
      </c>
      <c r="E58" s="173"/>
      <c r="F58" s="173" t="s">
        <v>14</v>
      </c>
      <c r="G58" s="173" t="s">
        <v>14</v>
      </c>
      <c r="H58" s="173" t="s">
        <v>14</v>
      </c>
      <c r="I58" s="173" t="s">
        <v>15</v>
      </c>
      <c r="J58" s="173" t="s">
        <v>565</v>
      </c>
      <c r="K58" s="173" t="s">
        <v>566</v>
      </c>
    </row>
    <row r="59" spans="1:11" s="85" customFormat="1" x14ac:dyDescent="0.25">
      <c r="A59" s="202"/>
      <c r="B59" s="174" t="s">
        <v>513</v>
      </c>
      <c r="C59" s="174" t="s">
        <v>570</v>
      </c>
      <c r="D59" s="173" t="s">
        <v>253</v>
      </c>
      <c r="E59" s="173" t="s">
        <v>14</v>
      </c>
      <c r="F59" s="173" t="s">
        <v>14</v>
      </c>
      <c r="G59" s="173" t="s">
        <v>14</v>
      </c>
      <c r="H59" s="173" t="s">
        <v>14</v>
      </c>
      <c r="I59" s="173" t="s">
        <v>15</v>
      </c>
      <c r="J59" s="173" t="s">
        <v>567</v>
      </c>
      <c r="K59" s="173" t="s">
        <v>568</v>
      </c>
    </row>
    <row r="60" spans="1:11" s="85" customFormat="1" x14ac:dyDescent="0.25">
      <c r="A60" s="202"/>
      <c r="B60" s="174" t="s">
        <v>513</v>
      </c>
      <c r="C60" s="174" t="s">
        <v>581</v>
      </c>
      <c r="D60" s="173" t="s">
        <v>253</v>
      </c>
      <c r="E60" s="173"/>
      <c r="F60" s="173" t="s">
        <v>14</v>
      </c>
      <c r="G60" s="173" t="s">
        <v>14</v>
      </c>
      <c r="H60" s="173" t="s">
        <v>14</v>
      </c>
      <c r="I60" s="173" t="s">
        <v>582</v>
      </c>
      <c r="J60" s="173"/>
      <c r="K60" s="173" t="s">
        <v>583</v>
      </c>
    </row>
    <row r="61" spans="1:11" s="85" customFormat="1" x14ac:dyDescent="0.25">
      <c r="A61" s="202"/>
      <c r="B61" s="174" t="s">
        <v>611</v>
      </c>
      <c r="C61" s="174" t="s">
        <v>619</v>
      </c>
      <c r="D61" s="173" t="s">
        <v>13</v>
      </c>
      <c r="E61" s="173" t="s">
        <v>14</v>
      </c>
      <c r="F61" s="173" t="s">
        <v>13</v>
      </c>
      <c r="G61" s="173" t="s">
        <v>13</v>
      </c>
      <c r="H61" s="173" t="s">
        <v>14</v>
      </c>
      <c r="I61" s="173" t="s">
        <v>125</v>
      </c>
      <c r="J61" s="173" t="s">
        <v>620</v>
      </c>
      <c r="K61" s="173" t="s">
        <v>621</v>
      </c>
    </row>
    <row r="62" spans="1:11" s="186" customFormat="1" ht="15.75" thickBot="1" x14ac:dyDescent="0.3">
      <c r="A62" s="204"/>
      <c r="B62" s="177" t="s">
        <v>631</v>
      </c>
      <c r="C62" s="177" t="s">
        <v>520</v>
      </c>
      <c r="D62" s="178" t="s">
        <v>13</v>
      </c>
      <c r="E62" s="178" t="s">
        <v>14</v>
      </c>
      <c r="F62" s="178" t="s">
        <v>13</v>
      </c>
      <c r="G62" s="178" t="s">
        <v>35</v>
      </c>
      <c r="H62" s="178" t="s">
        <v>14</v>
      </c>
      <c r="I62" s="178" t="s">
        <v>15</v>
      </c>
      <c r="J62" s="178" t="s">
        <v>624</v>
      </c>
      <c r="K62" s="178" t="s">
        <v>630</v>
      </c>
    </row>
    <row r="63" spans="1:11" s="91" customFormat="1" x14ac:dyDescent="0.25">
      <c r="A63" s="203" t="s">
        <v>206</v>
      </c>
      <c r="B63" s="174" t="s">
        <v>142</v>
      </c>
      <c r="C63" s="174" t="s">
        <v>141</v>
      </c>
      <c r="D63" s="173" t="s">
        <v>13</v>
      </c>
      <c r="E63" s="173" t="s">
        <v>14</v>
      </c>
      <c r="F63" s="173" t="s">
        <v>14</v>
      </c>
      <c r="G63" s="173" t="s">
        <v>13</v>
      </c>
      <c r="H63" s="173" t="s">
        <v>14</v>
      </c>
      <c r="I63" s="173" t="s">
        <v>15</v>
      </c>
      <c r="J63" s="173"/>
      <c r="K63" s="173"/>
    </row>
    <row r="64" spans="1:11" s="91" customFormat="1" x14ac:dyDescent="0.25">
      <c r="A64" s="202"/>
      <c r="B64" s="174" t="s">
        <v>267</v>
      </c>
      <c r="C64" s="174" t="s">
        <v>205</v>
      </c>
      <c r="D64" s="173" t="s">
        <v>14</v>
      </c>
      <c r="E64" s="173" t="s">
        <v>14</v>
      </c>
      <c r="F64" s="173" t="s">
        <v>14</v>
      </c>
      <c r="G64" s="173" t="s">
        <v>14</v>
      </c>
      <c r="H64" s="173" t="s">
        <v>14</v>
      </c>
      <c r="I64" s="173" t="s">
        <v>15</v>
      </c>
      <c r="J64" s="173" t="s">
        <v>199</v>
      </c>
      <c r="K64" s="173" t="s">
        <v>204</v>
      </c>
    </row>
    <row r="65" spans="1:11" s="91" customFormat="1" x14ac:dyDescent="0.25">
      <c r="A65" s="202"/>
      <c r="B65" s="174" t="s">
        <v>267</v>
      </c>
      <c r="C65" s="174" t="s">
        <v>217</v>
      </c>
      <c r="D65" s="173" t="s">
        <v>14</v>
      </c>
      <c r="E65" s="173" t="s">
        <v>14</v>
      </c>
      <c r="F65" s="173" t="s">
        <v>14</v>
      </c>
      <c r="G65" s="173" t="s">
        <v>14</v>
      </c>
      <c r="H65" s="173" t="s">
        <v>14</v>
      </c>
      <c r="I65" s="173" t="s">
        <v>15</v>
      </c>
      <c r="J65" s="173" t="s">
        <v>199</v>
      </c>
      <c r="K65" s="173" t="s">
        <v>204</v>
      </c>
    </row>
    <row r="66" spans="1:11" s="91" customFormat="1" x14ac:dyDescent="0.25">
      <c r="A66" s="202"/>
      <c r="B66" s="174" t="s">
        <v>267</v>
      </c>
      <c r="C66" s="174" t="s">
        <v>220</v>
      </c>
      <c r="D66" s="173" t="s">
        <v>14</v>
      </c>
      <c r="E66" s="173" t="s">
        <v>14</v>
      </c>
      <c r="F66" s="173" t="s">
        <v>14</v>
      </c>
      <c r="G66" s="173" t="s">
        <v>14</v>
      </c>
      <c r="H66" s="173" t="s">
        <v>14</v>
      </c>
      <c r="I66" s="173" t="s">
        <v>15</v>
      </c>
      <c r="J66" s="173" t="s">
        <v>199</v>
      </c>
      <c r="K66" s="173" t="s">
        <v>221</v>
      </c>
    </row>
    <row r="67" spans="1:11" s="91" customFormat="1" x14ac:dyDescent="0.25">
      <c r="A67" s="202"/>
      <c r="B67" s="174" t="s">
        <v>357</v>
      </c>
      <c r="C67" s="174" t="s">
        <v>364</v>
      </c>
      <c r="D67" s="173" t="s">
        <v>14</v>
      </c>
      <c r="E67" s="173" t="s">
        <v>14</v>
      </c>
      <c r="F67" s="173" t="s">
        <v>14</v>
      </c>
      <c r="G67" s="173" t="s">
        <v>13</v>
      </c>
      <c r="H67" s="173" t="s">
        <v>14</v>
      </c>
      <c r="I67" s="173" t="s">
        <v>15</v>
      </c>
      <c r="J67" s="173" t="s">
        <v>365</v>
      </c>
      <c r="K67" s="173" t="s">
        <v>366</v>
      </c>
    </row>
    <row r="68" spans="1:11" s="91" customFormat="1" x14ac:dyDescent="0.25">
      <c r="A68" s="202"/>
      <c r="B68" s="174" t="s">
        <v>430</v>
      </c>
      <c r="C68" s="175" t="s">
        <v>431</v>
      </c>
      <c r="D68" s="173" t="s">
        <v>14</v>
      </c>
      <c r="E68" s="173" t="s">
        <v>14</v>
      </c>
      <c r="F68" s="173" t="s">
        <v>14</v>
      </c>
      <c r="G68" s="173" t="s">
        <v>13</v>
      </c>
      <c r="H68" s="173" t="s">
        <v>13</v>
      </c>
      <c r="I68" s="173" t="s">
        <v>40</v>
      </c>
      <c r="J68" s="173"/>
      <c r="K68" s="173" t="s">
        <v>411</v>
      </c>
    </row>
    <row r="69" spans="1:11" s="91" customFormat="1" ht="30" x14ac:dyDescent="0.25">
      <c r="A69" s="202"/>
      <c r="B69" s="174" t="s">
        <v>430</v>
      </c>
      <c r="C69" s="175" t="s">
        <v>415</v>
      </c>
      <c r="D69" s="173" t="s">
        <v>13</v>
      </c>
      <c r="E69" s="173" t="s">
        <v>14</v>
      </c>
      <c r="F69" s="173" t="s">
        <v>13</v>
      </c>
      <c r="G69" s="173" t="s">
        <v>13</v>
      </c>
      <c r="H69" s="173" t="s">
        <v>14</v>
      </c>
      <c r="I69" s="173" t="s">
        <v>40</v>
      </c>
      <c r="J69" s="173"/>
      <c r="K69" s="173" t="s">
        <v>416</v>
      </c>
    </row>
    <row r="70" spans="1:11" s="91" customFormat="1" x14ac:dyDescent="0.25">
      <c r="A70" s="202"/>
      <c r="B70" s="174" t="s">
        <v>430</v>
      </c>
      <c r="C70" s="174" t="s">
        <v>420</v>
      </c>
      <c r="D70" s="173" t="s">
        <v>13</v>
      </c>
      <c r="E70" s="173" t="s">
        <v>14</v>
      </c>
      <c r="F70" s="173" t="s">
        <v>13</v>
      </c>
      <c r="G70" s="173" t="s">
        <v>13</v>
      </c>
      <c r="H70" s="173" t="s">
        <v>13</v>
      </c>
      <c r="I70" s="173" t="s">
        <v>40</v>
      </c>
      <c r="J70" s="173"/>
      <c r="K70" s="173" t="s">
        <v>421</v>
      </c>
    </row>
    <row r="71" spans="1:11" s="91" customFormat="1" x14ac:dyDescent="0.25">
      <c r="A71" s="202"/>
      <c r="B71" s="174" t="s">
        <v>512</v>
      </c>
      <c r="C71" s="174" t="s">
        <v>498</v>
      </c>
      <c r="D71" s="173" t="s">
        <v>13</v>
      </c>
      <c r="E71" s="173" t="s">
        <v>14</v>
      </c>
      <c r="F71" s="173" t="s">
        <v>14</v>
      </c>
      <c r="G71" s="173" t="s">
        <v>14</v>
      </c>
      <c r="H71" s="173" t="s">
        <v>14</v>
      </c>
      <c r="I71" s="173" t="s">
        <v>40</v>
      </c>
      <c r="J71" s="173"/>
      <c r="K71" s="173"/>
    </row>
    <row r="72" spans="1:11" s="187" customFormat="1" ht="15.75" thickBot="1" x14ac:dyDescent="0.3">
      <c r="A72" s="204"/>
      <c r="B72" s="177" t="s">
        <v>512</v>
      </c>
      <c r="C72" s="177" t="s">
        <v>499</v>
      </c>
      <c r="D72" s="178" t="s">
        <v>13</v>
      </c>
      <c r="E72" s="178" t="s">
        <v>14</v>
      </c>
      <c r="F72" s="178" t="s">
        <v>14</v>
      </c>
      <c r="G72" s="178" t="s">
        <v>14</v>
      </c>
      <c r="H72" s="178" t="s">
        <v>14</v>
      </c>
      <c r="I72" s="178" t="s">
        <v>256</v>
      </c>
      <c r="J72" s="178"/>
      <c r="K72" s="178"/>
    </row>
    <row r="73" spans="1:11" s="56" customFormat="1" x14ac:dyDescent="0.25">
      <c r="A73" s="203" t="s">
        <v>60</v>
      </c>
      <c r="B73" s="174" t="s">
        <v>69</v>
      </c>
      <c r="C73" s="174" t="s">
        <v>59</v>
      </c>
      <c r="D73" s="173" t="s">
        <v>13</v>
      </c>
      <c r="E73" s="173" t="s">
        <v>14</v>
      </c>
      <c r="F73" s="173" t="s">
        <v>14</v>
      </c>
      <c r="G73" s="173" t="s">
        <v>14</v>
      </c>
      <c r="H73" s="173" t="s">
        <v>14</v>
      </c>
      <c r="I73" s="173" t="s">
        <v>15</v>
      </c>
      <c r="J73" s="173" t="s">
        <v>61</v>
      </c>
      <c r="K73" s="173" t="s">
        <v>62</v>
      </c>
    </row>
    <row r="74" spans="1:11" s="56" customFormat="1" x14ac:dyDescent="0.25">
      <c r="A74" s="202"/>
      <c r="B74" s="174" t="s">
        <v>69</v>
      </c>
      <c r="C74" s="174" t="s">
        <v>66</v>
      </c>
      <c r="D74" s="173" t="s">
        <v>13</v>
      </c>
      <c r="E74" s="173" t="s">
        <v>13</v>
      </c>
      <c r="F74" s="173" t="s">
        <v>13</v>
      </c>
      <c r="G74" s="173" t="s">
        <v>14</v>
      </c>
      <c r="H74" s="173" t="s">
        <v>14</v>
      </c>
      <c r="I74" s="173" t="s">
        <v>15</v>
      </c>
      <c r="J74" s="173" t="s">
        <v>67</v>
      </c>
      <c r="K74" s="173" t="s">
        <v>68</v>
      </c>
    </row>
    <row r="75" spans="1:11" s="56" customFormat="1" x14ac:dyDescent="0.25">
      <c r="A75" s="202"/>
      <c r="B75" s="174" t="s">
        <v>117</v>
      </c>
      <c r="C75" s="174" t="s">
        <v>38</v>
      </c>
      <c r="D75" s="173" t="s">
        <v>14</v>
      </c>
      <c r="E75" s="173" t="s">
        <v>14</v>
      </c>
      <c r="F75" s="173" t="s">
        <v>13</v>
      </c>
      <c r="G75" s="173" t="s">
        <v>14</v>
      </c>
      <c r="H75" s="173" t="s">
        <v>13</v>
      </c>
      <c r="I75" s="173" t="s">
        <v>40</v>
      </c>
      <c r="J75" s="173" t="s">
        <v>111</v>
      </c>
      <c r="K75" s="173" t="s">
        <v>77</v>
      </c>
    </row>
    <row r="76" spans="1:11" s="56" customFormat="1" x14ac:dyDescent="0.25">
      <c r="A76" s="202"/>
      <c r="B76" s="174" t="s">
        <v>267</v>
      </c>
      <c r="C76" s="174" t="s">
        <v>222</v>
      </c>
      <c r="D76" s="173" t="s">
        <v>14</v>
      </c>
      <c r="E76" s="173" t="s">
        <v>13</v>
      </c>
      <c r="F76" s="173" t="s">
        <v>14</v>
      </c>
      <c r="G76" s="173" t="s">
        <v>13</v>
      </c>
      <c r="H76" s="173" t="s">
        <v>14</v>
      </c>
      <c r="I76" s="173" t="s">
        <v>15</v>
      </c>
      <c r="J76" s="173" t="s">
        <v>199</v>
      </c>
      <c r="K76" s="173"/>
    </row>
    <row r="77" spans="1:11" s="56" customFormat="1" x14ac:dyDescent="0.25">
      <c r="A77" s="202"/>
      <c r="B77" s="174" t="s">
        <v>355</v>
      </c>
      <c r="C77" s="175" t="s">
        <v>351</v>
      </c>
      <c r="D77" s="173" t="s">
        <v>306</v>
      </c>
      <c r="E77" s="173" t="s">
        <v>303</v>
      </c>
      <c r="F77" s="173" t="s">
        <v>43</v>
      </c>
      <c r="G77" s="173" t="s">
        <v>306</v>
      </c>
      <c r="H77" s="173" t="s">
        <v>306</v>
      </c>
      <c r="I77" s="173" t="s">
        <v>15</v>
      </c>
      <c r="J77" s="173" t="s">
        <v>337</v>
      </c>
      <c r="K77" s="173" t="s">
        <v>352</v>
      </c>
    </row>
    <row r="78" spans="1:11" s="56" customFormat="1" x14ac:dyDescent="0.25">
      <c r="A78" s="202"/>
      <c r="B78" s="174" t="s">
        <v>469</v>
      </c>
      <c r="C78" s="174" t="s">
        <v>473</v>
      </c>
      <c r="D78" s="173" t="s">
        <v>13</v>
      </c>
      <c r="E78" s="173" t="s">
        <v>14</v>
      </c>
      <c r="F78" s="173" t="s">
        <v>14</v>
      </c>
      <c r="G78" s="173" t="s">
        <v>13</v>
      </c>
      <c r="H78" s="173" t="s">
        <v>14</v>
      </c>
      <c r="I78" s="173" t="s">
        <v>15</v>
      </c>
      <c r="J78" s="173" t="s">
        <v>474</v>
      </c>
      <c r="K78" s="173" t="s">
        <v>475</v>
      </c>
    </row>
    <row r="79" spans="1:11" s="56" customFormat="1" x14ac:dyDescent="0.25">
      <c r="A79" s="202"/>
      <c r="B79" s="174" t="s">
        <v>469</v>
      </c>
      <c r="C79" s="174" t="s">
        <v>476</v>
      </c>
      <c r="D79" s="173" t="s">
        <v>14</v>
      </c>
      <c r="E79" s="173" t="s">
        <v>14</v>
      </c>
      <c r="F79" s="173" t="s">
        <v>14</v>
      </c>
      <c r="G79" s="173" t="s">
        <v>14</v>
      </c>
      <c r="H79" s="173" t="s">
        <v>14</v>
      </c>
      <c r="I79" s="173" t="s">
        <v>15</v>
      </c>
      <c r="J79" s="173" t="s">
        <v>477</v>
      </c>
      <c r="K79" s="173" t="s">
        <v>478</v>
      </c>
    </row>
    <row r="80" spans="1:11" s="56" customFormat="1" x14ac:dyDescent="0.25">
      <c r="A80" s="202"/>
      <c r="B80" s="174" t="s">
        <v>469</v>
      </c>
      <c r="C80" s="174" t="s">
        <v>479</v>
      </c>
      <c r="D80" s="173" t="s">
        <v>13</v>
      </c>
      <c r="E80" s="173" t="s">
        <v>14</v>
      </c>
      <c r="F80" s="173" t="s">
        <v>14</v>
      </c>
      <c r="G80" s="173" t="s">
        <v>14</v>
      </c>
      <c r="H80" s="173" t="s">
        <v>14</v>
      </c>
      <c r="I80" s="173" t="s">
        <v>15</v>
      </c>
      <c r="J80" s="173" t="s">
        <v>480</v>
      </c>
      <c r="K80" s="173" t="s">
        <v>481</v>
      </c>
    </row>
    <row r="81" spans="1:11" s="56" customFormat="1" x14ac:dyDescent="0.25">
      <c r="A81" s="202"/>
      <c r="B81" s="174" t="s">
        <v>469</v>
      </c>
      <c r="C81" s="174" t="s">
        <v>482</v>
      </c>
      <c r="D81" s="173" t="s">
        <v>13</v>
      </c>
      <c r="E81" s="173" t="s">
        <v>14</v>
      </c>
      <c r="F81" s="173" t="s">
        <v>14</v>
      </c>
      <c r="G81" s="173" t="s">
        <v>13</v>
      </c>
      <c r="H81" s="173" t="s">
        <v>14</v>
      </c>
      <c r="I81" s="173" t="s">
        <v>15</v>
      </c>
      <c r="J81" s="173" t="s">
        <v>483</v>
      </c>
      <c r="K81" s="173" t="s">
        <v>484</v>
      </c>
    </row>
    <row r="82" spans="1:11" s="56" customFormat="1" x14ac:dyDescent="0.25">
      <c r="A82" s="202"/>
      <c r="B82" s="174" t="s">
        <v>469</v>
      </c>
      <c r="C82" s="174" t="s">
        <v>485</v>
      </c>
      <c r="D82" s="173" t="s">
        <v>13</v>
      </c>
      <c r="E82" s="173" t="s">
        <v>14</v>
      </c>
      <c r="F82" s="173" t="s">
        <v>14</v>
      </c>
      <c r="G82" s="173" t="s">
        <v>13</v>
      </c>
      <c r="H82" s="173" t="s">
        <v>14</v>
      </c>
      <c r="I82" s="173" t="s">
        <v>15</v>
      </c>
      <c r="J82" s="173" t="s">
        <v>486</v>
      </c>
      <c r="K82" s="173" t="s">
        <v>487</v>
      </c>
    </row>
    <row r="83" spans="1:11" s="56" customFormat="1" x14ac:dyDescent="0.25">
      <c r="A83" s="202"/>
      <c r="B83" s="174" t="s">
        <v>469</v>
      </c>
      <c r="C83" s="174" t="s">
        <v>488</v>
      </c>
      <c r="D83" s="173" t="s">
        <v>13</v>
      </c>
      <c r="E83" s="173" t="s">
        <v>14</v>
      </c>
      <c r="F83" s="173" t="s">
        <v>14</v>
      </c>
      <c r="G83" s="173" t="s">
        <v>13</v>
      </c>
      <c r="H83" s="173" t="s">
        <v>14</v>
      </c>
      <c r="I83" s="173" t="s">
        <v>15</v>
      </c>
      <c r="J83" s="173" t="s">
        <v>483</v>
      </c>
      <c r="K83" s="173" t="s">
        <v>489</v>
      </c>
    </row>
    <row r="84" spans="1:11" s="56" customFormat="1" x14ac:dyDescent="0.25">
      <c r="A84" s="202"/>
      <c r="B84" s="174" t="s">
        <v>469</v>
      </c>
      <c r="C84" s="174" t="s">
        <v>490</v>
      </c>
      <c r="D84" s="173" t="s">
        <v>13</v>
      </c>
      <c r="E84" s="173" t="s">
        <v>14</v>
      </c>
      <c r="F84" s="173" t="s">
        <v>14</v>
      </c>
      <c r="G84" s="173" t="s">
        <v>13</v>
      </c>
      <c r="H84" s="173" t="s">
        <v>14</v>
      </c>
      <c r="I84" s="173" t="s">
        <v>15</v>
      </c>
      <c r="J84" s="173" t="s">
        <v>486</v>
      </c>
      <c r="K84" s="173" t="s">
        <v>489</v>
      </c>
    </row>
    <row r="85" spans="1:11" s="188" customFormat="1" ht="15.75" thickBot="1" x14ac:dyDescent="0.3">
      <c r="A85" s="204"/>
      <c r="B85" s="177" t="s">
        <v>495</v>
      </c>
      <c r="C85" s="177" t="s">
        <v>496</v>
      </c>
      <c r="D85" s="178" t="s">
        <v>13</v>
      </c>
      <c r="E85" s="178" t="s">
        <v>497</v>
      </c>
      <c r="F85" s="178" t="s">
        <v>497</v>
      </c>
      <c r="G85" s="178" t="s">
        <v>14</v>
      </c>
      <c r="H85" s="178" t="s">
        <v>14</v>
      </c>
      <c r="I85" s="178" t="s">
        <v>15</v>
      </c>
      <c r="J85" s="178"/>
      <c r="K85" s="178"/>
    </row>
    <row r="86" spans="1:11" s="49" customFormat="1" x14ac:dyDescent="0.25">
      <c r="A86" s="203" t="s">
        <v>176</v>
      </c>
      <c r="B86" s="174" t="s">
        <v>186</v>
      </c>
      <c r="C86" s="174" t="s">
        <v>175</v>
      </c>
      <c r="D86" s="173" t="s">
        <v>14</v>
      </c>
      <c r="E86" s="173" t="s">
        <v>14</v>
      </c>
      <c r="F86" s="173" t="s">
        <v>177</v>
      </c>
      <c r="G86" s="173" t="s">
        <v>14</v>
      </c>
      <c r="H86" s="173" t="s">
        <v>13</v>
      </c>
      <c r="I86" s="173" t="s">
        <v>15</v>
      </c>
      <c r="J86" s="173" t="s">
        <v>178</v>
      </c>
      <c r="K86" s="173" t="s">
        <v>179</v>
      </c>
    </row>
    <row r="87" spans="1:11" s="49" customFormat="1" x14ac:dyDescent="0.25">
      <c r="A87" s="202"/>
      <c r="B87" s="174" t="s">
        <v>186</v>
      </c>
      <c r="C87" s="174" t="s">
        <v>180</v>
      </c>
      <c r="D87" s="173" t="s">
        <v>14</v>
      </c>
      <c r="E87" s="173" t="s">
        <v>14</v>
      </c>
      <c r="F87" s="173" t="s">
        <v>14</v>
      </c>
      <c r="G87" s="173" t="s">
        <v>14</v>
      </c>
      <c r="H87" s="173" t="s">
        <v>13</v>
      </c>
      <c r="I87" s="173" t="s">
        <v>15</v>
      </c>
      <c r="J87" s="173" t="s">
        <v>181</v>
      </c>
      <c r="K87" s="173" t="s">
        <v>182</v>
      </c>
    </row>
    <row r="88" spans="1:11" s="49" customFormat="1" x14ac:dyDescent="0.25">
      <c r="A88" s="202"/>
      <c r="B88" s="174" t="s">
        <v>267</v>
      </c>
      <c r="C88" s="174" t="s">
        <v>203</v>
      </c>
      <c r="D88" s="173" t="s">
        <v>14</v>
      </c>
      <c r="E88" s="173" t="s">
        <v>14</v>
      </c>
      <c r="F88" s="173" t="s">
        <v>14</v>
      </c>
      <c r="G88" s="173" t="s">
        <v>14</v>
      </c>
      <c r="H88" s="173" t="s">
        <v>14</v>
      </c>
      <c r="I88" s="173" t="s">
        <v>15</v>
      </c>
      <c r="J88" s="173" t="s">
        <v>199</v>
      </c>
      <c r="K88" s="173" t="s">
        <v>204</v>
      </c>
    </row>
    <row r="89" spans="1:11" s="49" customFormat="1" x14ac:dyDescent="0.25">
      <c r="A89" s="202"/>
      <c r="B89" s="174" t="s">
        <v>267</v>
      </c>
      <c r="C89" s="174" t="s">
        <v>208</v>
      </c>
      <c r="D89" s="173" t="s">
        <v>14</v>
      </c>
      <c r="E89" s="173" t="s">
        <v>14</v>
      </c>
      <c r="F89" s="173" t="s">
        <v>14</v>
      </c>
      <c r="G89" s="173" t="s">
        <v>14</v>
      </c>
      <c r="H89" s="173" t="s">
        <v>14</v>
      </c>
      <c r="I89" s="173" t="s">
        <v>15</v>
      </c>
      <c r="J89" s="173" t="s">
        <v>199</v>
      </c>
      <c r="K89" s="173"/>
    </row>
    <row r="90" spans="1:11" s="49" customFormat="1" x14ac:dyDescent="0.25">
      <c r="A90" s="202"/>
      <c r="B90" s="174" t="s">
        <v>267</v>
      </c>
      <c r="C90" s="174" t="s">
        <v>216</v>
      </c>
      <c r="D90" s="173" t="s">
        <v>14</v>
      </c>
      <c r="E90" s="173" t="s">
        <v>14</v>
      </c>
      <c r="F90" s="173" t="s">
        <v>14</v>
      </c>
      <c r="G90" s="173" t="s">
        <v>14</v>
      </c>
      <c r="H90" s="173" t="s">
        <v>14</v>
      </c>
      <c r="I90" s="173" t="s">
        <v>15</v>
      </c>
      <c r="J90" s="173" t="s">
        <v>199</v>
      </c>
      <c r="K90" s="173" t="s">
        <v>204</v>
      </c>
    </row>
    <row r="91" spans="1:11" s="49" customFormat="1" x14ac:dyDescent="0.25">
      <c r="A91" s="202"/>
      <c r="B91" s="174" t="s">
        <v>267</v>
      </c>
      <c r="C91" s="174" t="s">
        <v>219</v>
      </c>
      <c r="D91" s="173" t="s">
        <v>14</v>
      </c>
      <c r="E91" s="173" t="s">
        <v>14</v>
      </c>
      <c r="F91" s="173" t="s">
        <v>14</v>
      </c>
      <c r="G91" s="173" t="s">
        <v>14</v>
      </c>
      <c r="H91" s="173" t="s">
        <v>14</v>
      </c>
      <c r="I91" s="173" t="s">
        <v>15</v>
      </c>
      <c r="J91" s="173" t="s">
        <v>199</v>
      </c>
      <c r="K91" s="173"/>
    </row>
    <row r="92" spans="1:11" s="49" customFormat="1" x14ac:dyDescent="0.25">
      <c r="A92" s="202"/>
      <c r="B92" s="174" t="s">
        <v>267</v>
      </c>
      <c r="C92" s="174" t="s">
        <v>238</v>
      </c>
      <c r="D92" s="173" t="s">
        <v>14</v>
      </c>
      <c r="E92" s="173" t="s">
        <v>14</v>
      </c>
      <c r="F92" s="173" t="s">
        <v>13</v>
      </c>
      <c r="G92" s="173" t="s">
        <v>14</v>
      </c>
      <c r="H92" s="173" t="s">
        <v>14</v>
      </c>
      <c r="I92" s="173" t="s">
        <v>15</v>
      </c>
      <c r="J92" s="173"/>
      <c r="K92" s="173"/>
    </row>
    <row r="93" spans="1:11" s="49" customFormat="1" x14ac:dyDescent="0.25">
      <c r="A93" s="202"/>
      <c r="B93" s="174" t="s">
        <v>267</v>
      </c>
      <c r="C93" s="174" t="s">
        <v>251</v>
      </c>
      <c r="D93" s="173" t="s">
        <v>13</v>
      </c>
      <c r="E93" s="173" t="s">
        <v>13</v>
      </c>
      <c r="F93" s="173" t="s">
        <v>13</v>
      </c>
      <c r="G93" s="173" t="s">
        <v>14</v>
      </c>
      <c r="H93" s="173" t="s">
        <v>13</v>
      </c>
      <c r="I93" s="173" t="s">
        <v>15</v>
      </c>
      <c r="J93" s="173"/>
      <c r="K93" s="173"/>
    </row>
    <row r="94" spans="1:11" s="49" customFormat="1" x14ac:dyDescent="0.25">
      <c r="A94" s="202"/>
      <c r="B94" s="174" t="s">
        <v>267</v>
      </c>
      <c r="C94" s="174" t="s">
        <v>255</v>
      </c>
      <c r="D94" s="173" t="s">
        <v>14</v>
      </c>
      <c r="E94" s="173" t="s">
        <v>253</v>
      </c>
      <c r="F94" s="173" t="s">
        <v>14</v>
      </c>
      <c r="G94" s="173" t="s">
        <v>14</v>
      </c>
      <c r="H94" s="173" t="s">
        <v>253</v>
      </c>
      <c r="I94" s="173" t="s">
        <v>256</v>
      </c>
      <c r="J94" s="173"/>
      <c r="K94" s="173"/>
    </row>
    <row r="95" spans="1:11" s="49" customFormat="1" x14ac:dyDescent="0.25">
      <c r="A95" s="202"/>
      <c r="B95" s="174" t="s">
        <v>267</v>
      </c>
      <c r="C95" s="174" t="s">
        <v>257</v>
      </c>
      <c r="D95" s="173" t="s">
        <v>14</v>
      </c>
      <c r="E95" s="173" t="s">
        <v>253</v>
      </c>
      <c r="F95" s="173" t="s">
        <v>14</v>
      </c>
      <c r="G95" s="173" t="s">
        <v>14</v>
      </c>
      <c r="H95" s="173" t="s">
        <v>253</v>
      </c>
      <c r="I95" s="173" t="s">
        <v>256</v>
      </c>
      <c r="J95" s="173"/>
      <c r="K95" s="173"/>
    </row>
    <row r="96" spans="1:11" s="49" customFormat="1" x14ac:dyDescent="0.25">
      <c r="A96" s="202"/>
      <c r="B96" s="174" t="s">
        <v>267</v>
      </c>
      <c r="C96" s="174" t="s">
        <v>262</v>
      </c>
      <c r="D96" s="173" t="s">
        <v>14</v>
      </c>
      <c r="E96" s="173" t="s">
        <v>13</v>
      </c>
      <c r="F96" s="173" t="s">
        <v>13</v>
      </c>
      <c r="G96" s="173" t="s">
        <v>14</v>
      </c>
      <c r="H96" s="173" t="s">
        <v>13</v>
      </c>
      <c r="I96" s="173" t="s">
        <v>40</v>
      </c>
      <c r="J96" s="173"/>
      <c r="K96" s="173" t="s">
        <v>263</v>
      </c>
    </row>
    <row r="97" spans="1:11" s="49" customFormat="1" x14ac:dyDescent="0.25">
      <c r="A97" s="202"/>
      <c r="B97" s="174" t="s">
        <v>355</v>
      </c>
      <c r="C97" s="175" t="s">
        <v>346</v>
      </c>
      <c r="D97" s="173" t="s">
        <v>306</v>
      </c>
      <c r="E97" s="173" t="s">
        <v>306</v>
      </c>
      <c r="F97" s="173" t="s">
        <v>43</v>
      </c>
      <c r="G97" s="173" t="s">
        <v>43</v>
      </c>
      <c r="H97" s="173" t="s">
        <v>306</v>
      </c>
      <c r="I97" s="173" t="s">
        <v>15</v>
      </c>
      <c r="J97" s="173"/>
      <c r="K97" s="173" t="s">
        <v>347</v>
      </c>
    </row>
    <row r="98" spans="1:11" s="49" customFormat="1" x14ac:dyDescent="0.25">
      <c r="A98" s="202"/>
      <c r="B98" s="174" t="s">
        <v>430</v>
      </c>
      <c r="C98" s="174" t="s">
        <v>406</v>
      </c>
      <c r="D98" s="173" t="s">
        <v>13</v>
      </c>
      <c r="E98" s="173" t="s">
        <v>14</v>
      </c>
      <c r="F98" s="173" t="s">
        <v>14</v>
      </c>
      <c r="G98" s="173" t="s">
        <v>13</v>
      </c>
      <c r="H98" s="173" t="s">
        <v>14</v>
      </c>
      <c r="I98" s="173" t="s">
        <v>15</v>
      </c>
      <c r="J98" s="173" t="s">
        <v>407</v>
      </c>
      <c r="K98" s="173" t="s">
        <v>408</v>
      </c>
    </row>
    <row r="99" spans="1:11" s="49" customFormat="1" x14ac:dyDescent="0.25">
      <c r="A99" s="202"/>
      <c r="B99" s="174" t="s">
        <v>442</v>
      </c>
      <c r="C99" s="174" t="s">
        <v>435</v>
      </c>
      <c r="D99" s="173"/>
      <c r="E99" s="173" t="s">
        <v>14</v>
      </c>
      <c r="F99" s="173" t="s">
        <v>14</v>
      </c>
      <c r="G99" s="173" t="s">
        <v>14</v>
      </c>
      <c r="H99" s="173" t="s">
        <v>14</v>
      </c>
      <c r="I99" s="173" t="s">
        <v>403</v>
      </c>
      <c r="J99" s="173"/>
      <c r="K99" s="173"/>
    </row>
    <row r="100" spans="1:11" s="49" customFormat="1" x14ac:dyDescent="0.25">
      <c r="A100" s="202"/>
      <c r="B100" s="174" t="s">
        <v>512</v>
      </c>
      <c r="C100" s="174" t="s">
        <v>502</v>
      </c>
      <c r="D100" s="173" t="s">
        <v>253</v>
      </c>
      <c r="E100" s="173" t="s">
        <v>14</v>
      </c>
      <c r="F100" s="173" t="s">
        <v>13</v>
      </c>
      <c r="G100" s="173" t="s">
        <v>13</v>
      </c>
      <c r="H100" s="173" t="s">
        <v>13</v>
      </c>
      <c r="I100" s="173" t="s">
        <v>256</v>
      </c>
      <c r="J100" s="173"/>
      <c r="K100" s="173"/>
    </row>
    <row r="101" spans="1:11" s="49" customFormat="1" x14ac:dyDescent="0.25">
      <c r="A101" s="202"/>
      <c r="B101" s="174" t="s">
        <v>513</v>
      </c>
      <c r="C101" s="174" t="s">
        <v>584</v>
      </c>
      <c r="D101" s="173" t="s">
        <v>253</v>
      </c>
      <c r="E101" s="173"/>
      <c r="F101" s="173" t="s">
        <v>14</v>
      </c>
      <c r="G101" s="173" t="s">
        <v>14</v>
      </c>
      <c r="H101" s="173" t="s">
        <v>14</v>
      </c>
      <c r="I101" s="173" t="s">
        <v>582</v>
      </c>
      <c r="J101" s="173"/>
      <c r="K101" s="173" t="s">
        <v>585</v>
      </c>
    </row>
    <row r="102" spans="1:11" s="192" customFormat="1" ht="15.75" thickBot="1" x14ac:dyDescent="0.3">
      <c r="A102" s="204"/>
      <c r="B102" s="177" t="s">
        <v>588</v>
      </c>
      <c r="C102" s="177" t="s">
        <v>601</v>
      </c>
      <c r="D102" s="178" t="s">
        <v>13</v>
      </c>
      <c r="E102" s="178" t="s">
        <v>13</v>
      </c>
      <c r="F102" s="178" t="s">
        <v>13</v>
      </c>
      <c r="G102" s="178"/>
      <c r="H102" s="178" t="s">
        <v>13</v>
      </c>
      <c r="I102" s="178" t="s">
        <v>15</v>
      </c>
      <c r="J102" s="178" t="s">
        <v>602</v>
      </c>
      <c r="K102" s="178" t="s">
        <v>603</v>
      </c>
    </row>
    <row r="103" spans="1:11" s="57" customFormat="1" x14ac:dyDescent="0.25">
      <c r="A103" s="203" t="s">
        <v>134</v>
      </c>
      <c r="B103" s="174" t="s">
        <v>142</v>
      </c>
      <c r="C103" s="174" t="s">
        <v>133</v>
      </c>
      <c r="D103" s="173" t="s">
        <v>13</v>
      </c>
      <c r="E103" s="173" t="s">
        <v>14</v>
      </c>
      <c r="F103" s="173" t="s">
        <v>14</v>
      </c>
      <c r="G103" s="173" t="s">
        <v>13</v>
      </c>
      <c r="H103" s="173" t="s">
        <v>14</v>
      </c>
      <c r="I103" s="173" t="s">
        <v>15</v>
      </c>
      <c r="J103" s="173" t="s">
        <v>135</v>
      </c>
      <c r="K103" s="173"/>
    </row>
    <row r="104" spans="1:11" s="57" customFormat="1" x14ac:dyDescent="0.25">
      <c r="A104" s="202"/>
      <c r="B104" s="174" t="s">
        <v>267</v>
      </c>
      <c r="C104" s="174" t="s">
        <v>201</v>
      </c>
      <c r="D104" s="173" t="s">
        <v>14</v>
      </c>
      <c r="E104" s="173" t="s">
        <v>14</v>
      </c>
      <c r="F104" s="173" t="s">
        <v>14</v>
      </c>
      <c r="G104" s="173" t="s">
        <v>14</v>
      </c>
      <c r="H104" s="173" t="s">
        <v>14</v>
      </c>
      <c r="I104" s="173" t="s">
        <v>15</v>
      </c>
      <c r="J104" s="173" t="s">
        <v>199</v>
      </c>
      <c r="K104" s="173" t="s">
        <v>202</v>
      </c>
    </row>
    <row r="105" spans="1:11" s="193" customFormat="1" ht="15.75" thickBot="1" x14ac:dyDescent="0.3">
      <c r="A105" s="204"/>
      <c r="B105" s="177" t="s">
        <v>267</v>
      </c>
      <c r="C105" s="177" t="s">
        <v>239</v>
      </c>
      <c r="D105" s="178" t="s">
        <v>13</v>
      </c>
      <c r="E105" s="178" t="s">
        <v>14</v>
      </c>
      <c r="F105" s="178" t="s">
        <v>14</v>
      </c>
      <c r="G105" s="178" t="s">
        <v>14</v>
      </c>
      <c r="H105" s="178" t="s">
        <v>14</v>
      </c>
      <c r="I105" s="178" t="s">
        <v>15</v>
      </c>
      <c r="J105" s="178" t="s">
        <v>240</v>
      </c>
      <c r="K105" s="178" t="s">
        <v>241</v>
      </c>
    </row>
    <row r="106" spans="1:11" s="98" customFormat="1" x14ac:dyDescent="0.25">
      <c r="A106" s="203" t="s">
        <v>243</v>
      </c>
      <c r="B106" s="174" t="s">
        <v>267</v>
      </c>
      <c r="C106" s="174" t="s">
        <v>242</v>
      </c>
      <c r="D106" s="173" t="s">
        <v>14</v>
      </c>
      <c r="E106" s="173" t="s">
        <v>13</v>
      </c>
      <c r="F106" s="173" t="s">
        <v>13</v>
      </c>
      <c r="G106" s="173" t="s">
        <v>14</v>
      </c>
      <c r="H106" s="173" t="s">
        <v>14</v>
      </c>
      <c r="I106" s="173" t="s">
        <v>15</v>
      </c>
      <c r="J106" s="173"/>
      <c r="K106" s="173" t="s">
        <v>244</v>
      </c>
    </row>
    <row r="107" spans="1:11" s="98" customFormat="1" x14ac:dyDescent="0.25">
      <c r="A107" s="202"/>
      <c r="B107" s="174" t="s">
        <v>267</v>
      </c>
      <c r="C107" s="174" t="s">
        <v>245</v>
      </c>
      <c r="D107" s="173" t="s">
        <v>13</v>
      </c>
      <c r="E107" s="173" t="s">
        <v>13</v>
      </c>
      <c r="F107" s="173" t="s">
        <v>14</v>
      </c>
      <c r="G107" s="173" t="s">
        <v>14</v>
      </c>
      <c r="H107" s="173" t="s">
        <v>14</v>
      </c>
      <c r="I107" s="173" t="s">
        <v>15</v>
      </c>
      <c r="J107" s="173"/>
      <c r="K107" s="173" t="s">
        <v>246</v>
      </c>
    </row>
    <row r="108" spans="1:11" s="98" customFormat="1" x14ac:dyDescent="0.25">
      <c r="A108" s="202"/>
      <c r="B108" s="174" t="s">
        <v>267</v>
      </c>
      <c r="C108" s="174" t="s">
        <v>252</v>
      </c>
      <c r="D108" s="173" t="s">
        <v>253</v>
      </c>
      <c r="E108" s="173" t="s">
        <v>253</v>
      </c>
      <c r="F108" s="173" t="s">
        <v>253</v>
      </c>
      <c r="G108" s="173" t="s">
        <v>14</v>
      </c>
      <c r="H108" s="173" t="s">
        <v>253</v>
      </c>
      <c r="I108" s="173" t="s">
        <v>40</v>
      </c>
      <c r="J108" s="173"/>
      <c r="K108" s="173" t="s">
        <v>254</v>
      </c>
    </row>
    <row r="109" spans="1:11" s="98" customFormat="1" x14ac:dyDescent="0.25">
      <c r="A109" s="202"/>
      <c r="B109" s="174" t="s">
        <v>267</v>
      </c>
      <c r="C109" s="174" t="s">
        <v>258</v>
      </c>
      <c r="D109" s="173" t="s">
        <v>14</v>
      </c>
      <c r="E109" s="173" t="s">
        <v>253</v>
      </c>
      <c r="F109" s="173" t="s">
        <v>14</v>
      </c>
      <c r="G109" s="173" t="s">
        <v>14</v>
      </c>
      <c r="H109" s="173" t="s">
        <v>253</v>
      </c>
      <c r="I109" s="173" t="s">
        <v>256</v>
      </c>
      <c r="J109" s="173"/>
      <c r="K109" s="173"/>
    </row>
    <row r="110" spans="1:11" s="98" customFormat="1" x14ac:dyDescent="0.25">
      <c r="A110" s="202"/>
      <c r="B110" s="174" t="s">
        <v>267</v>
      </c>
      <c r="C110" s="174" t="s">
        <v>259</v>
      </c>
      <c r="D110" s="173" t="s">
        <v>13</v>
      </c>
      <c r="E110" s="173" t="s">
        <v>14</v>
      </c>
      <c r="F110" s="173" t="s">
        <v>14</v>
      </c>
      <c r="G110" s="173" t="s">
        <v>14</v>
      </c>
      <c r="H110" s="173" t="s">
        <v>13</v>
      </c>
      <c r="I110" s="173" t="s">
        <v>40</v>
      </c>
      <c r="J110" s="173"/>
      <c r="K110" s="173"/>
    </row>
    <row r="111" spans="1:11" s="98" customFormat="1" x14ac:dyDescent="0.25">
      <c r="A111" s="202"/>
      <c r="B111" s="174" t="s">
        <v>267</v>
      </c>
      <c r="C111" s="174" t="s">
        <v>260</v>
      </c>
      <c r="D111" s="173" t="s">
        <v>253</v>
      </c>
      <c r="E111" s="173" t="s">
        <v>253</v>
      </c>
      <c r="F111" s="173" t="s">
        <v>253</v>
      </c>
      <c r="G111" s="173" t="s">
        <v>14</v>
      </c>
      <c r="H111" s="173" t="s">
        <v>253</v>
      </c>
      <c r="I111" s="173" t="s">
        <v>256</v>
      </c>
      <c r="J111" s="173"/>
      <c r="K111" s="173"/>
    </row>
    <row r="112" spans="1:11" s="98" customFormat="1" x14ac:dyDescent="0.25">
      <c r="A112" s="202"/>
      <c r="B112" s="174" t="s">
        <v>267</v>
      </c>
      <c r="C112" s="174" t="s">
        <v>261</v>
      </c>
      <c r="D112" s="173" t="s">
        <v>13</v>
      </c>
      <c r="E112" s="173" t="s">
        <v>13</v>
      </c>
      <c r="F112" s="173" t="s">
        <v>13</v>
      </c>
      <c r="G112" s="173" t="s">
        <v>14</v>
      </c>
      <c r="H112" s="173" t="s">
        <v>13</v>
      </c>
      <c r="I112" s="173" t="s">
        <v>40</v>
      </c>
      <c r="J112" s="173"/>
      <c r="K112" s="173"/>
    </row>
    <row r="113" spans="1:11" s="98" customFormat="1" x14ac:dyDescent="0.25">
      <c r="A113" s="202"/>
      <c r="B113" s="174" t="s">
        <v>267</v>
      </c>
      <c r="C113" s="174" t="s">
        <v>264</v>
      </c>
      <c r="D113" s="173" t="s">
        <v>14</v>
      </c>
      <c r="E113" s="173" t="s">
        <v>14</v>
      </c>
      <c r="F113" s="173" t="s">
        <v>14</v>
      </c>
      <c r="G113" s="173" t="s">
        <v>14</v>
      </c>
      <c r="H113" s="173" t="s">
        <v>14</v>
      </c>
      <c r="I113" s="173" t="s">
        <v>40</v>
      </c>
      <c r="J113" s="173"/>
      <c r="K113" s="173" t="s">
        <v>265</v>
      </c>
    </row>
    <row r="114" spans="1:11" s="98" customFormat="1" x14ac:dyDescent="0.25">
      <c r="A114" s="202"/>
      <c r="B114" s="174" t="s">
        <v>512</v>
      </c>
      <c r="C114" s="174" t="s">
        <v>503</v>
      </c>
      <c r="D114" s="173" t="s">
        <v>253</v>
      </c>
      <c r="E114" s="173" t="s">
        <v>13</v>
      </c>
      <c r="F114" s="173" t="s">
        <v>13</v>
      </c>
      <c r="G114" s="173" t="s">
        <v>14</v>
      </c>
      <c r="H114" s="173" t="s">
        <v>14</v>
      </c>
      <c r="I114" s="173" t="s">
        <v>256</v>
      </c>
      <c r="J114" s="173"/>
      <c r="K114" s="173"/>
    </row>
    <row r="115" spans="1:11" s="194" customFormat="1" ht="15.75" thickBot="1" x14ac:dyDescent="0.3">
      <c r="A115" s="204"/>
      <c r="B115" s="177" t="s">
        <v>588</v>
      </c>
      <c r="C115" s="177" t="s">
        <v>443</v>
      </c>
      <c r="D115" s="178" t="s">
        <v>13</v>
      </c>
      <c r="E115" s="178" t="s">
        <v>13</v>
      </c>
      <c r="F115" s="178" t="s">
        <v>13</v>
      </c>
      <c r="G115" s="178"/>
      <c r="H115" s="178" t="s">
        <v>13</v>
      </c>
      <c r="I115" s="178" t="s">
        <v>40</v>
      </c>
      <c r="J115" s="178"/>
      <c r="K115" s="178" t="s">
        <v>595</v>
      </c>
    </row>
    <row r="116" spans="1:11" s="66" customFormat="1" x14ac:dyDescent="0.25">
      <c r="A116" s="203" t="s">
        <v>97</v>
      </c>
      <c r="B116" s="174" t="s">
        <v>117</v>
      </c>
      <c r="C116" s="174" t="s">
        <v>96</v>
      </c>
      <c r="D116" s="173" t="s">
        <v>14</v>
      </c>
      <c r="E116" s="173" t="s">
        <v>14</v>
      </c>
      <c r="F116" s="173" t="s">
        <v>14</v>
      </c>
      <c r="G116" s="173" t="s">
        <v>14</v>
      </c>
      <c r="H116" s="173" t="s">
        <v>13</v>
      </c>
      <c r="I116" s="173" t="s">
        <v>40</v>
      </c>
      <c r="J116" s="173" t="s">
        <v>98</v>
      </c>
      <c r="K116" s="173" t="s">
        <v>99</v>
      </c>
    </row>
    <row r="117" spans="1:11" s="66" customFormat="1" x14ac:dyDescent="0.25">
      <c r="A117" s="202"/>
      <c r="B117" s="174" t="s">
        <v>355</v>
      </c>
      <c r="C117" s="175" t="s">
        <v>298</v>
      </c>
      <c r="D117" s="173" t="s">
        <v>43</v>
      </c>
      <c r="E117" s="173" t="s">
        <v>43</v>
      </c>
      <c r="F117" s="173" t="s">
        <v>43</v>
      </c>
      <c r="G117" s="173" t="s">
        <v>43</v>
      </c>
      <c r="H117" s="173" t="s">
        <v>43</v>
      </c>
      <c r="I117" s="173" t="s">
        <v>15</v>
      </c>
      <c r="J117" s="173" t="s">
        <v>299</v>
      </c>
      <c r="K117" s="173" t="s">
        <v>300</v>
      </c>
    </row>
    <row r="118" spans="1:11" s="66" customFormat="1" x14ac:dyDescent="0.25">
      <c r="A118" s="202"/>
      <c r="B118" s="174" t="s">
        <v>355</v>
      </c>
      <c r="C118" s="175" t="s">
        <v>301</v>
      </c>
      <c r="D118" s="173" t="s">
        <v>43</v>
      </c>
      <c r="E118" s="173" t="s">
        <v>43</v>
      </c>
      <c r="F118" s="173" t="s">
        <v>43</v>
      </c>
      <c r="G118" s="173" t="s">
        <v>43</v>
      </c>
      <c r="H118" s="173" t="s">
        <v>43</v>
      </c>
      <c r="I118" s="173" t="s">
        <v>15</v>
      </c>
      <c r="J118" s="173" t="s">
        <v>299</v>
      </c>
      <c r="K118" s="173" t="s">
        <v>300</v>
      </c>
    </row>
    <row r="119" spans="1:11" s="66" customFormat="1" x14ac:dyDescent="0.25">
      <c r="A119" s="202"/>
      <c r="B119" s="174" t="s">
        <v>355</v>
      </c>
      <c r="C119" s="175" t="s">
        <v>302</v>
      </c>
      <c r="D119" s="173" t="s">
        <v>43</v>
      </c>
      <c r="E119" s="173" t="s">
        <v>303</v>
      </c>
      <c r="F119" s="173" t="s">
        <v>43</v>
      </c>
      <c r="G119" s="173" t="s">
        <v>43</v>
      </c>
      <c r="H119" s="173" t="s">
        <v>43</v>
      </c>
      <c r="I119" s="173" t="s">
        <v>15</v>
      </c>
      <c r="J119" s="173" t="s">
        <v>632</v>
      </c>
      <c r="K119" s="173" t="s">
        <v>304</v>
      </c>
    </row>
    <row r="120" spans="1:11" s="66" customFormat="1" x14ac:dyDescent="0.25">
      <c r="A120" s="202"/>
      <c r="B120" s="174" t="s">
        <v>355</v>
      </c>
      <c r="C120" s="175" t="s">
        <v>305</v>
      </c>
      <c r="D120" s="173" t="s">
        <v>43</v>
      </c>
      <c r="E120" s="173" t="s">
        <v>43</v>
      </c>
      <c r="F120" s="173" t="s">
        <v>43</v>
      </c>
      <c r="G120" s="173" t="s">
        <v>43</v>
      </c>
      <c r="H120" s="173" t="s">
        <v>306</v>
      </c>
      <c r="I120" s="173" t="s">
        <v>15</v>
      </c>
      <c r="J120" s="173" t="s">
        <v>307</v>
      </c>
      <c r="K120" s="173" t="s">
        <v>308</v>
      </c>
    </row>
    <row r="121" spans="1:11" s="66" customFormat="1" x14ac:dyDescent="0.25">
      <c r="A121" s="202"/>
      <c r="B121" s="174" t="s">
        <v>355</v>
      </c>
      <c r="C121" s="175" t="s">
        <v>309</v>
      </c>
      <c r="D121" s="173" t="s">
        <v>43</v>
      </c>
      <c r="E121" s="173" t="s">
        <v>43</v>
      </c>
      <c r="F121" s="173" t="s">
        <v>43</v>
      </c>
      <c r="G121" s="173" t="s">
        <v>43</v>
      </c>
      <c r="H121" s="173" t="s">
        <v>43</v>
      </c>
      <c r="I121" s="173" t="s">
        <v>15</v>
      </c>
      <c r="J121" s="173" t="s">
        <v>633</v>
      </c>
      <c r="K121" s="173"/>
    </row>
    <row r="122" spans="1:11" s="66" customFormat="1" x14ac:dyDescent="0.25">
      <c r="A122" s="202"/>
      <c r="B122" s="174" t="s">
        <v>355</v>
      </c>
      <c r="C122" s="175" t="s">
        <v>310</v>
      </c>
      <c r="D122" s="173" t="s">
        <v>43</v>
      </c>
      <c r="E122" s="173" t="s">
        <v>43</v>
      </c>
      <c r="F122" s="173" t="s">
        <v>43</v>
      </c>
      <c r="G122" s="173" t="s">
        <v>43</v>
      </c>
      <c r="H122" s="173" t="s">
        <v>43</v>
      </c>
      <c r="I122" s="173" t="s">
        <v>15</v>
      </c>
      <c r="J122" s="173" t="s">
        <v>633</v>
      </c>
      <c r="K122" s="173"/>
    </row>
    <row r="123" spans="1:11" s="66" customFormat="1" x14ac:dyDescent="0.25">
      <c r="A123" s="202"/>
      <c r="B123" s="174" t="s">
        <v>355</v>
      </c>
      <c r="C123" s="175" t="s">
        <v>311</v>
      </c>
      <c r="D123" s="173" t="s">
        <v>306</v>
      </c>
      <c r="E123" s="173" t="s">
        <v>303</v>
      </c>
      <c r="F123" s="173" t="s">
        <v>43</v>
      </c>
      <c r="G123" s="173" t="s">
        <v>43</v>
      </c>
      <c r="H123" s="173" t="s">
        <v>306</v>
      </c>
      <c r="I123" s="173" t="s">
        <v>15</v>
      </c>
      <c r="J123" s="173" t="s">
        <v>634</v>
      </c>
      <c r="K123" s="173" t="s">
        <v>312</v>
      </c>
    </row>
    <row r="124" spans="1:11" s="66" customFormat="1" x14ac:dyDescent="0.25">
      <c r="A124" s="202"/>
      <c r="B124" s="174" t="s">
        <v>355</v>
      </c>
      <c r="C124" s="175" t="s">
        <v>313</v>
      </c>
      <c r="D124" s="173" t="s">
        <v>306</v>
      </c>
      <c r="E124" s="173" t="s">
        <v>314</v>
      </c>
      <c r="F124" s="173" t="s">
        <v>43</v>
      </c>
      <c r="G124" s="173" t="s">
        <v>43</v>
      </c>
      <c r="H124" s="173" t="s">
        <v>43</v>
      </c>
      <c r="I124" s="173" t="s">
        <v>15</v>
      </c>
      <c r="J124" s="173" t="s">
        <v>635</v>
      </c>
      <c r="K124" s="173" t="s">
        <v>315</v>
      </c>
    </row>
    <row r="125" spans="1:11" s="66" customFormat="1" x14ac:dyDescent="0.25">
      <c r="A125" s="202"/>
      <c r="B125" s="174" t="s">
        <v>355</v>
      </c>
      <c r="C125" s="175" t="s">
        <v>316</v>
      </c>
      <c r="D125" s="173" t="s">
        <v>306</v>
      </c>
      <c r="E125" s="173" t="s">
        <v>314</v>
      </c>
      <c r="F125" s="173" t="s">
        <v>43</v>
      </c>
      <c r="G125" s="173" t="s">
        <v>43</v>
      </c>
      <c r="H125" s="173" t="s">
        <v>306</v>
      </c>
      <c r="I125" s="173" t="s">
        <v>15</v>
      </c>
      <c r="J125" s="173" t="s">
        <v>636</v>
      </c>
      <c r="K125" s="173" t="s">
        <v>317</v>
      </c>
    </row>
    <row r="126" spans="1:11" s="66" customFormat="1" x14ac:dyDescent="0.25">
      <c r="A126" s="202"/>
      <c r="B126" s="174" t="s">
        <v>355</v>
      </c>
      <c r="C126" s="175" t="s">
        <v>342</v>
      </c>
      <c r="D126" s="173" t="s">
        <v>306</v>
      </c>
      <c r="E126" s="173" t="s">
        <v>43</v>
      </c>
      <c r="F126" s="173" t="s">
        <v>43</v>
      </c>
      <c r="G126" s="173" t="s">
        <v>43</v>
      </c>
      <c r="H126" s="173" t="s">
        <v>306</v>
      </c>
      <c r="I126" s="173" t="s">
        <v>15</v>
      </c>
      <c r="J126" s="173" t="s">
        <v>640</v>
      </c>
      <c r="K126" s="173" t="s">
        <v>343</v>
      </c>
    </row>
    <row r="127" spans="1:11" s="66" customFormat="1" x14ac:dyDescent="0.25">
      <c r="A127" s="202"/>
      <c r="B127" s="174" t="s">
        <v>430</v>
      </c>
      <c r="C127" s="174" t="s">
        <v>409</v>
      </c>
      <c r="D127" s="173" t="s">
        <v>13</v>
      </c>
      <c r="E127" s="173" t="s">
        <v>14</v>
      </c>
      <c r="F127" s="173" t="s">
        <v>13</v>
      </c>
      <c r="G127" s="173" t="s">
        <v>13</v>
      </c>
      <c r="H127" s="173" t="s">
        <v>14</v>
      </c>
      <c r="I127" s="173" t="s">
        <v>15</v>
      </c>
      <c r="J127" s="173"/>
      <c r="K127" s="173"/>
    </row>
    <row r="128" spans="1:11" s="66" customFormat="1" x14ac:dyDescent="0.25">
      <c r="A128" s="202"/>
      <c r="B128" s="174" t="s">
        <v>430</v>
      </c>
      <c r="C128" s="174" t="s">
        <v>410</v>
      </c>
      <c r="D128" s="173" t="s">
        <v>13</v>
      </c>
      <c r="E128" s="173" t="s">
        <v>14</v>
      </c>
      <c r="F128" s="173" t="s">
        <v>13</v>
      </c>
      <c r="G128" s="173" t="s">
        <v>13</v>
      </c>
      <c r="H128" s="173" t="s">
        <v>13</v>
      </c>
      <c r="I128" s="173" t="s">
        <v>15</v>
      </c>
      <c r="J128" s="173"/>
      <c r="K128" s="173"/>
    </row>
    <row r="129" spans="1:11" s="66" customFormat="1" x14ac:dyDescent="0.25">
      <c r="A129" s="202"/>
      <c r="B129" s="174" t="s">
        <v>430</v>
      </c>
      <c r="C129" s="175" t="s">
        <v>432</v>
      </c>
      <c r="D129" s="173" t="s">
        <v>14</v>
      </c>
      <c r="E129" s="173" t="s">
        <v>14</v>
      </c>
      <c r="F129" s="173" t="s">
        <v>14</v>
      </c>
      <c r="G129" s="173" t="s">
        <v>13</v>
      </c>
      <c r="H129" s="173" t="s">
        <v>13</v>
      </c>
      <c r="I129" s="173" t="s">
        <v>40</v>
      </c>
      <c r="J129" s="173"/>
      <c r="K129" s="173" t="s">
        <v>412</v>
      </c>
    </row>
    <row r="130" spans="1:11" s="66" customFormat="1" ht="17.45" customHeight="1" x14ac:dyDescent="0.25">
      <c r="A130" s="202"/>
      <c r="B130" s="174" t="s">
        <v>430</v>
      </c>
      <c r="C130" s="174" t="s">
        <v>413</v>
      </c>
      <c r="D130" s="173" t="s">
        <v>13</v>
      </c>
      <c r="E130" s="173" t="s">
        <v>14</v>
      </c>
      <c r="F130" s="173" t="s">
        <v>13</v>
      </c>
      <c r="G130" s="173" t="s">
        <v>13</v>
      </c>
      <c r="H130" s="173" t="s">
        <v>13</v>
      </c>
      <c r="I130" s="173" t="s">
        <v>40</v>
      </c>
      <c r="J130" s="173"/>
      <c r="K130" s="176" t="s">
        <v>414</v>
      </c>
    </row>
    <row r="131" spans="1:11" s="66" customFormat="1" x14ac:dyDescent="0.25">
      <c r="A131" s="202"/>
      <c r="B131" s="174" t="s">
        <v>430</v>
      </c>
      <c r="C131" s="174" t="s">
        <v>423</v>
      </c>
      <c r="D131" s="173" t="s">
        <v>14</v>
      </c>
      <c r="E131" s="173" t="s">
        <v>14</v>
      </c>
      <c r="F131" s="173"/>
      <c r="G131" s="173"/>
      <c r="H131" s="173"/>
      <c r="I131" s="173"/>
      <c r="J131" s="173"/>
      <c r="K131" s="173"/>
    </row>
    <row r="132" spans="1:11" s="66" customFormat="1" x14ac:dyDescent="0.25">
      <c r="A132" s="202"/>
      <c r="B132" s="174" t="s">
        <v>430</v>
      </c>
      <c r="C132" s="174" t="s">
        <v>424</v>
      </c>
      <c r="D132" s="173" t="s">
        <v>14</v>
      </c>
      <c r="E132" s="173" t="s">
        <v>14</v>
      </c>
      <c r="F132" s="173" t="s">
        <v>14</v>
      </c>
      <c r="G132" s="173" t="s">
        <v>13</v>
      </c>
      <c r="H132" s="173" t="s">
        <v>14</v>
      </c>
      <c r="I132" s="173" t="s">
        <v>425</v>
      </c>
      <c r="J132" s="173"/>
      <c r="K132" s="173" t="s">
        <v>426</v>
      </c>
    </row>
    <row r="133" spans="1:11" s="66" customFormat="1" x14ac:dyDescent="0.25">
      <c r="A133" s="202"/>
      <c r="B133" s="174" t="s">
        <v>430</v>
      </c>
      <c r="C133" s="174" t="s">
        <v>427</v>
      </c>
      <c r="D133" s="173" t="s">
        <v>14</v>
      </c>
      <c r="E133" s="173" t="s">
        <v>14</v>
      </c>
      <c r="F133" s="173" t="s">
        <v>14</v>
      </c>
      <c r="G133" s="173" t="s">
        <v>253</v>
      </c>
      <c r="H133" s="173" t="s">
        <v>14</v>
      </c>
      <c r="I133" s="173" t="s">
        <v>40</v>
      </c>
      <c r="J133" s="173"/>
      <c r="K133" s="173" t="s">
        <v>428</v>
      </c>
    </row>
    <row r="134" spans="1:11" s="195" customFormat="1" ht="15.75" thickBot="1" x14ac:dyDescent="0.3">
      <c r="A134" s="204"/>
      <c r="B134" s="177" t="s">
        <v>430</v>
      </c>
      <c r="C134" s="177" t="s">
        <v>429</v>
      </c>
      <c r="D134" s="178" t="s">
        <v>13</v>
      </c>
      <c r="E134" s="178" t="s">
        <v>14</v>
      </c>
      <c r="F134" s="178" t="s">
        <v>13</v>
      </c>
      <c r="G134" s="178" t="s">
        <v>13</v>
      </c>
      <c r="H134" s="178" t="s">
        <v>13</v>
      </c>
      <c r="I134" s="178" t="s">
        <v>40</v>
      </c>
      <c r="J134" s="178"/>
      <c r="K134" s="178"/>
    </row>
    <row r="135" spans="1:11" s="67" customFormat="1" x14ac:dyDescent="0.25">
      <c r="A135" s="203" t="s">
        <v>39</v>
      </c>
      <c r="B135" s="174" t="s">
        <v>58</v>
      </c>
      <c r="C135" s="174" t="s">
        <v>38</v>
      </c>
      <c r="D135" s="173" t="s">
        <v>14</v>
      </c>
      <c r="E135" s="173" t="s">
        <v>14</v>
      </c>
      <c r="F135" s="173" t="s">
        <v>14</v>
      </c>
      <c r="G135" s="173" t="s">
        <v>14</v>
      </c>
      <c r="H135" s="173" t="s">
        <v>14</v>
      </c>
      <c r="I135" s="173" t="s">
        <v>40</v>
      </c>
      <c r="J135" s="173" t="s">
        <v>41</v>
      </c>
      <c r="K135" s="173" t="s">
        <v>654</v>
      </c>
    </row>
    <row r="136" spans="1:11" s="67" customFormat="1" x14ac:dyDescent="0.25">
      <c r="A136" s="202"/>
      <c r="B136" s="174" t="s">
        <v>58</v>
      </c>
      <c r="C136" s="174" t="s">
        <v>42</v>
      </c>
      <c r="D136" s="173" t="s">
        <v>14</v>
      </c>
      <c r="E136" s="173" t="s">
        <v>14</v>
      </c>
      <c r="F136" s="173" t="s">
        <v>43</v>
      </c>
      <c r="G136" s="173" t="s">
        <v>43</v>
      </c>
      <c r="H136" s="173" t="s">
        <v>43</v>
      </c>
      <c r="I136" s="173" t="s">
        <v>40</v>
      </c>
      <c r="J136" s="173" t="s">
        <v>44</v>
      </c>
      <c r="K136" s="173" t="s">
        <v>654</v>
      </c>
    </row>
    <row r="137" spans="1:11" s="67" customFormat="1" x14ac:dyDescent="0.25">
      <c r="A137" s="202"/>
      <c r="B137" s="174" t="s">
        <v>58</v>
      </c>
      <c r="C137" s="174" t="s">
        <v>47</v>
      </c>
      <c r="D137" s="173" t="s">
        <v>43</v>
      </c>
      <c r="E137" s="173" t="s">
        <v>14</v>
      </c>
      <c r="F137" s="173" t="s">
        <v>43</v>
      </c>
      <c r="G137" s="173" t="s">
        <v>43</v>
      </c>
      <c r="H137" s="173" t="s">
        <v>43</v>
      </c>
      <c r="I137" s="173" t="s">
        <v>40</v>
      </c>
      <c r="J137" s="173" t="s">
        <v>48</v>
      </c>
      <c r="K137" s="173" t="s">
        <v>654</v>
      </c>
    </row>
    <row r="138" spans="1:11" s="67" customFormat="1" x14ac:dyDescent="0.25">
      <c r="A138" s="202"/>
      <c r="B138" s="174" t="s">
        <v>58</v>
      </c>
      <c r="C138" s="174" t="s">
        <v>655</v>
      </c>
      <c r="D138" s="173" t="s">
        <v>43</v>
      </c>
      <c r="E138" s="173" t="s">
        <v>14</v>
      </c>
      <c r="F138" s="173" t="s">
        <v>43</v>
      </c>
      <c r="G138" s="173" t="s">
        <v>43</v>
      </c>
      <c r="H138" s="173" t="s">
        <v>43</v>
      </c>
      <c r="I138" s="173" t="s">
        <v>40</v>
      </c>
      <c r="J138" s="173" t="s">
        <v>49</v>
      </c>
      <c r="K138" s="173" t="s">
        <v>654</v>
      </c>
    </row>
    <row r="139" spans="1:11" s="67" customFormat="1" x14ac:dyDescent="0.25">
      <c r="A139" s="202"/>
      <c r="B139" s="174" t="s">
        <v>58</v>
      </c>
      <c r="C139" s="174" t="s">
        <v>50</v>
      </c>
      <c r="D139" s="173" t="s">
        <v>43</v>
      </c>
      <c r="E139" s="173" t="s">
        <v>14</v>
      </c>
      <c r="F139" s="173" t="s">
        <v>43</v>
      </c>
      <c r="G139" s="173" t="s">
        <v>43</v>
      </c>
      <c r="H139" s="173" t="s">
        <v>43</v>
      </c>
      <c r="I139" s="173" t="s">
        <v>40</v>
      </c>
      <c r="J139" s="173" t="s">
        <v>51</v>
      </c>
      <c r="K139" s="173" t="s">
        <v>654</v>
      </c>
    </row>
    <row r="140" spans="1:11" s="67" customFormat="1" x14ac:dyDescent="0.25">
      <c r="A140" s="202"/>
      <c r="B140" s="174" t="s">
        <v>58</v>
      </c>
      <c r="C140" s="174" t="s">
        <v>52</v>
      </c>
      <c r="D140" s="173" t="s">
        <v>43</v>
      </c>
      <c r="E140" s="173" t="s">
        <v>14</v>
      </c>
      <c r="F140" s="173" t="s">
        <v>43</v>
      </c>
      <c r="G140" s="173" t="s">
        <v>43</v>
      </c>
      <c r="H140" s="173" t="s">
        <v>43</v>
      </c>
      <c r="I140" s="173" t="s">
        <v>40</v>
      </c>
      <c r="J140" s="173" t="s">
        <v>53</v>
      </c>
      <c r="K140" s="173" t="s">
        <v>654</v>
      </c>
    </row>
    <row r="141" spans="1:11" s="67" customFormat="1" x14ac:dyDescent="0.25">
      <c r="A141" s="202"/>
      <c r="B141" s="174" t="s">
        <v>58</v>
      </c>
      <c r="C141" s="174" t="s">
        <v>54</v>
      </c>
      <c r="D141" s="173" t="s">
        <v>43</v>
      </c>
      <c r="E141" s="173" t="s">
        <v>14</v>
      </c>
      <c r="F141" s="173" t="s">
        <v>43</v>
      </c>
      <c r="G141" s="173" t="s">
        <v>43</v>
      </c>
      <c r="H141" s="173" t="s">
        <v>43</v>
      </c>
      <c r="I141" s="173" t="s">
        <v>40</v>
      </c>
      <c r="J141" s="173" t="s">
        <v>51</v>
      </c>
      <c r="K141" s="173" t="s">
        <v>654</v>
      </c>
    </row>
    <row r="142" spans="1:11" s="67" customFormat="1" x14ac:dyDescent="0.25">
      <c r="A142" s="202"/>
      <c r="B142" s="174" t="s">
        <v>58</v>
      </c>
      <c r="C142" s="174" t="s">
        <v>55</v>
      </c>
      <c r="D142" s="173" t="s">
        <v>43</v>
      </c>
      <c r="E142" s="173" t="s">
        <v>43</v>
      </c>
      <c r="F142" s="173" t="s">
        <v>43</v>
      </c>
      <c r="G142" s="173" t="s">
        <v>43</v>
      </c>
      <c r="H142" s="173" t="s">
        <v>43</v>
      </c>
      <c r="I142" s="173" t="s">
        <v>40</v>
      </c>
      <c r="J142" s="173" t="s">
        <v>57</v>
      </c>
      <c r="K142" s="173" t="s">
        <v>654</v>
      </c>
    </row>
    <row r="143" spans="1:11" s="67" customFormat="1" x14ac:dyDescent="0.25">
      <c r="A143" s="202"/>
      <c r="B143" s="174" t="s">
        <v>281</v>
      </c>
      <c r="C143" s="174" t="s">
        <v>292</v>
      </c>
      <c r="D143" s="173" t="s">
        <v>35</v>
      </c>
      <c r="E143" s="173" t="s">
        <v>14</v>
      </c>
      <c r="F143" s="173" t="s">
        <v>14</v>
      </c>
      <c r="G143" s="173" t="s">
        <v>14</v>
      </c>
      <c r="H143" s="173" t="s">
        <v>14</v>
      </c>
      <c r="I143" s="173" t="s">
        <v>15</v>
      </c>
      <c r="J143" s="173"/>
      <c r="K143" s="173" t="s">
        <v>293</v>
      </c>
    </row>
    <row r="144" spans="1:11" s="67" customFormat="1" x14ac:dyDescent="0.25">
      <c r="A144" s="202"/>
      <c r="B144" s="174" t="s">
        <v>281</v>
      </c>
      <c r="C144" s="174" t="s">
        <v>294</v>
      </c>
      <c r="D144" s="173" t="s">
        <v>35</v>
      </c>
      <c r="E144" s="173" t="s">
        <v>14</v>
      </c>
      <c r="F144" s="173" t="s">
        <v>14</v>
      </c>
      <c r="G144" s="173" t="s">
        <v>14</v>
      </c>
      <c r="H144" s="173" t="s">
        <v>14</v>
      </c>
      <c r="I144" s="173" t="s">
        <v>15</v>
      </c>
      <c r="J144" s="173"/>
      <c r="K144" s="173" t="s">
        <v>295</v>
      </c>
    </row>
    <row r="145" spans="1:11" s="67" customFormat="1" x14ac:dyDescent="0.25">
      <c r="A145" s="202"/>
      <c r="B145" s="174" t="s">
        <v>281</v>
      </c>
      <c r="C145" s="174" t="s">
        <v>296</v>
      </c>
      <c r="D145" s="173" t="s">
        <v>35</v>
      </c>
      <c r="E145" s="173" t="s">
        <v>14</v>
      </c>
      <c r="F145" s="173" t="s">
        <v>14</v>
      </c>
      <c r="G145" s="173" t="s">
        <v>14</v>
      </c>
      <c r="H145" s="173" t="s">
        <v>14</v>
      </c>
      <c r="I145" s="173" t="s">
        <v>15</v>
      </c>
      <c r="J145" s="173"/>
      <c r="K145" s="173" t="s">
        <v>297</v>
      </c>
    </row>
    <row r="146" spans="1:11" s="67" customFormat="1" x14ac:dyDescent="0.25">
      <c r="A146" s="202"/>
      <c r="B146" s="174" t="s">
        <v>357</v>
      </c>
      <c r="C146" s="174" t="s">
        <v>388</v>
      </c>
      <c r="D146" s="173" t="s">
        <v>14</v>
      </c>
      <c r="E146" s="173" t="s">
        <v>14</v>
      </c>
      <c r="F146" s="173" t="s">
        <v>14</v>
      </c>
      <c r="G146" s="173" t="s">
        <v>13</v>
      </c>
      <c r="H146" s="173" t="s">
        <v>14</v>
      </c>
      <c r="I146" s="173" t="s">
        <v>15</v>
      </c>
      <c r="J146" s="173" t="s">
        <v>389</v>
      </c>
      <c r="K146" s="173" t="s">
        <v>390</v>
      </c>
    </row>
    <row r="147" spans="1:11" s="196" customFormat="1" ht="15.75" thickBot="1" x14ac:dyDescent="0.3">
      <c r="A147" s="204"/>
      <c r="B147" s="177" t="s">
        <v>357</v>
      </c>
      <c r="C147" s="177" t="s">
        <v>391</v>
      </c>
      <c r="D147" s="178" t="s">
        <v>14</v>
      </c>
      <c r="E147" s="178" t="s">
        <v>14</v>
      </c>
      <c r="F147" s="178" t="s">
        <v>14</v>
      </c>
      <c r="G147" s="178" t="s">
        <v>14</v>
      </c>
      <c r="H147" s="178" t="s">
        <v>13</v>
      </c>
      <c r="I147" s="178" t="s">
        <v>15</v>
      </c>
      <c r="J147" s="178" t="s">
        <v>392</v>
      </c>
      <c r="K147" s="178" t="s">
        <v>393</v>
      </c>
    </row>
    <row r="148" spans="1:11" s="64" customFormat="1" x14ac:dyDescent="0.25">
      <c r="A148" s="203" t="s">
        <v>150</v>
      </c>
      <c r="B148" s="174" t="s">
        <v>172</v>
      </c>
      <c r="C148" s="174" t="s">
        <v>149</v>
      </c>
      <c r="D148" s="173" t="s">
        <v>14</v>
      </c>
      <c r="E148" s="173" t="s">
        <v>14</v>
      </c>
      <c r="F148" s="173" t="s">
        <v>14</v>
      </c>
      <c r="G148" s="173" t="s">
        <v>14</v>
      </c>
      <c r="H148" s="173" t="s">
        <v>14</v>
      </c>
      <c r="I148" s="173" t="s">
        <v>15</v>
      </c>
      <c r="J148" s="173" t="s">
        <v>151</v>
      </c>
      <c r="K148" s="173" t="s">
        <v>152</v>
      </c>
    </row>
    <row r="149" spans="1:11" s="64" customFormat="1" x14ac:dyDescent="0.25">
      <c r="A149" s="202"/>
      <c r="B149" s="174" t="s">
        <v>512</v>
      </c>
      <c r="C149" s="174" t="s">
        <v>508</v>
      </c>
      <c r="D149" s="173" t="s">
        <v>253</v>
      </c>
      <c r="E149" s="173" t="s">
        <v>14</v>
      </c>
      <c r="F149" s="173" t="s">
        <v>14</v>
      </c>
      <c r="G149" s="173" t="s">
        <v>14</v>
      </c>
      <c r="H149" s="173" t="s">
        <v>14</v>
      </c>
      <c r="I149" s="173" t="s">
        <v>256</v>
      </c>
      <c r="J149" s="173"/>
      <c r="K149" s="173"/>
    </row>
    <row r="150" spans="1:11" s="197" customFormat="1" ht="15.75" thickBot="1" x14ac:dyDescent="0.3">
      <c r="A150" s="204"/>
      <c r="B150" s="177" t="s">
        <v>512</v>
      </c>
      <c r="C150" s="177" t="s">
        <v>509</v>
      </c>
      <c r="D150" s="178" t="s">
        <v>253</v>
      </c>
      <c r="E150" s="178" t="s">
        <v>14</v>
      </c>
      <c r="F150" s="178" t="s">
        <v>14</v>
      </c>
      <c r="G150" s="178" t="s">
        <v>14</v>
      </c>
      <c r="H150" s="178" t="s">
        <v>14</v>
      </c>
      <c r="I150" s="178" t="s">
        <v>256</v>
      </c>
      <c r="J150" s="178"/>
      <c r="K150" s="178"/>
    </row>
    <row r="151" spans="1:11" s="58" customFormat="1" x14ac:dyDescent="0.25">
      <c r="A151" s="202" t="s">
        <v>491</v>
      </c>
      <c r="B151" s="174" t="s">
        <v>512</v>
      </c>
      <c r="C151" s="174" t="s">
        <v>506</v>
      </c>
      <c r="D151" s="173" t="s">
        <v>253</v>
      </c>
      <c r="E151" s="173" t="s">
        <v>14</v>
      </c>
      <c r="F151" s="173" t="s">
        <v>14</v>
      </c>
      <c r="G151" s="173" t="s">
        <v>14</v>
      </c>
      <c r="H151" s="173" t="s">
        <v>13</v>
      </c>
      <c r="I151" s="173" t="s">
        <v>256</v>
      </c>
      <c r="J151" s="173"/>
      <c r="K151" s="173" t="s">
        <v>507</v>
      </c>
    </row>
    <row r="152" spans="1:11" s="198" customFormat="1" ht="15.75" thickBot="1" x14ac:dyDescent="0.3">
      <c r="A152" s="204"/>
      <c r="B152" s="177" t="s">
        <v>512</v>
      </c>
      <c r="C152" s="177" t="s">
        <v>510</v>
      </c>
      <c r="D152" s="178" t="s">
        <v>253</v>
      </c>
      <c r="E152" s="178" t="s">
        <v>14</v>
      </c>
      <c r="F152" s="178" t="s">
        <v>14</v>
      </c>
      <c r="G152" s="178" t="s">
        <v>14</v>
      </c>
      <c r="H152" s="178" t="s">
        <v>14</v>
      </c>
      <c r="I152" s="178" t="s">
        <v>256</v>
      </c>
      <c r="J152" s="178"/>
      <c r="K152" s="178"/>
    </row>
    <row r="153" spans="1:11" s="12" customFormat="1" x14ac:dyDescent="0.25">
      <c r="A153" s="203" t="s">
        <v>418</v>
      </c>
      <c r="B153" s="174" t="s">
        <v>430</v>
      </c>
      <c r="C153" s="174" t="s">
        <v>417</v>
      </c>
      <c r="D153" s="173" t="s">
        <v>13</v>
      </c>
      <c r="E153" s="173" t="s">
        <v>14</v>
      </c>
      <c r="F153" s="173" t="s">
        <v>13</v>
      </c>
      <c r="G153" s="173" t="s">
        <v>13</v>
      </c>
      <c r="H153" s="173" t="s">
        <v>13</v>
      </c>
      <c r="I153" s="173" t="s">
        <v>40</v>
      </c>
      <c r="J153" s="173"/>
      <c r="K153" s="173" t="s">
        <v>419</v>
      </c>
    </row>
    <row r="154" spans="1:11" s="12" customFormat="1" x14ac:dyDescent="0.25">
      <c r="A154" s="202"/>
      <c r="B154" s="174" t="s">
        <v>442</v>
      </c>
      <c r="C154" s="174" t="s">
        <v>441</v>
      </c>
      <c r="D154" s="173"/>
      <c r="E154" s="173" t="s">
        <v>14</v>
      </c>
      <c r="F154" s="173" t="s">
        <v>14</v>
      </c>
      <c r="G154" s="173" t="s">
        <v>14</v>
      </c>
      <c r="H154" s="173" t="s">
        <v>14</v>
      </c>
      <c r="I154" s="173" t="s">
        <v>256</v>
      </c>
      <c r="J154" s="173"/>
      <c r="K154" s="173"/>
    </row>
    <row r="155" spans="1:11" s="12" customFormat="1" x14ac:dyDescent="0.25">
      <c r="A155" s="202"/>
      <c r="B155" s="174" t="s">
        <v>512</v>
      </c>
      <c r="C155" s="174" t="s">
        <v>511</v>
      </c>
      <c r="D155" s="173" t="s">
        <v>253</v>
      </c>
      <c r="E155" s="173" t="s">
        <v>14</v>
      </c>
      <c r="F155" s="173" t="s">
        <v>14</v>
      </c>
      <c r="G155" s="173" t="s">
        <v>14</v>
      </c>
      <c r="H155" s="173" t="s">
        <v>14</v>
      </c>
      <c r="I155" s="173" t="s">
        <v>256</v>
      </c>
      <c r="J155" s="173"/>
      <c r="K155" s="173"/>
    </row>
    <row r="156" spans="1:11" s="12" customFormat="1" x14ac:dyDescent="0.25">
      <c r="A156" s="202"/>
      <c r="B156" s="174" t="s">
        <v>513</v>
      </c>
      <c r="C156" s="174" t="s">
        <v>560</v>
      </c>
      <c r="D156" s="173" t="s">
        <v>253</v>
      </c>
      <c r="E156" s="173"/>
      <c r="F156" s="173" t="s">
        <v>14</v>
      </c>
      <c r="G156" s="173" t="s">
        <v>14</v>
      </c>
      <c r="H156" s="173" t="s">
        <v>14</v>
      </c>
      <c r="I156" s="173" t="s">
        <v>15</v>
      </c>
      <c r="J156" s="173" t="s">
        <v>561</v>
      </c>
      <c r="K156" s="173" t="s">
        <v>562</v>
      </c>
    </row>
    <row r="157" spans="1:11" s="199" customFormat="1" ht="15.75" thickBot="1" x14ac:dyDescent="0.3">
      <c r="A157" s="204"/>
      <c r="B157" s="177" t="s">
        <v>513</v>
      </c>
      <c r="C157" s="177" t="s">
        <v>563</v>
      </c>
      <c r="D157" s="178" t="s">
        <v>253</v>
      </c>
      <c r="E157" s="178" t="s">
        <v>14</v>
      </c>
      <c r="F157" s="178" t="s">
        <v>14</v>
      </c>
      <c r="G157" s="178" t="s">
        <v>14</v>
      </c>
      <c r="H157" s="178" t="s">
        <v>14</v>
      </c>
      <c r="I157" s="178" t="s">
        <v>15</v>
      </c>
      <c r="J157" s="178"/>
      <c r="K157" s="178" t="s">
        <v>564</v>
      </c>
    </row>
    <row r="158" spans="1:11" s="63" customFormat="1" x14ac:dyDescent="0.25">
      <c r="A158" s="203" t="s">
        <v>105</v>
      </c>
      <c r="B158" s="174" t="s">
        <v>117</v>
      </c>
      <c r="C158" s="174" t="s">
        <v>104</v>
      </c>
      <c r="D158" s="173" t="s">
        <v>14</v>
      </c>
      <c r="E158" s="173" t="s">
        <v>14</v>
      </c>
      <c r="F158" s="173" t="s">
        <v>14</v>
      </c>
      <c r="G158" s="173" t="s">
        <v>14</v>
      </c>
      <c r="H158" s="173" t="s">
        <v>14</v>
      </c>
      <c r="I158" s="173" t="s">
        <v>40</v>
      </c>
      <c r="J158" s="173" t="s">
        <v>106</v>
      </c>
      <c r="K158" s="173" t="s">
        <v>77</v>
      </c>
    </row>
    <row r="159" spans="1:11" s="63" customFormat="1" x14ac:dyDescent="0.25">
      <c r="A159" s="202"/>
      <c r="B159" s="174" t="s">
        <v>430</v>
      </c>
      <c r="C159" s="174" t="s">
        <v>422</v>
      </c>
      <c r="D159" s="173" t="s">
        <v>253</v>
      </c>
      <c r="E159" s="173" t="s">
        <v>14</v>
      </c>
      <c r="F159" s="173" t="s">
        <v>253</v>
      </c>
      <c r="G159" s="173" t="s">
        <v>253</v>
      </c>
      <c r="H159" s="173" t="s">
        <v>14</v>
      </c>
      <c r="I159" s="173" t="s">
        <v>15</v>
      </c>
      <c r="J159" s="173"/>
      <c r="K159" s="173"/>
    </row>
    <row r="160" spans="1:11" s="200" customFormat="1" ht="15.75" thickBot="1" x14ac:dyDescent="0.3">
      <c r="A160" s="204"/>
      <c r="B160" s="177" t="s">
        <v>442</v>
      </c>
      <c r="C160" s="177" t="s">
        <v>440</v>
      </c>
      <c r="D160" s="178"/>
      <c r="E160" s="178" t="s">
        <v>14</v>
      </c>
      <c r="F160" s="178" t="s">
        <v>14</v>
      </c>
      <c r="G160" s="178" t="s">
        <v>14</v>
      </c>
      <c r="H160" s="178" t="s">
        <v>14</v>
      </c>
      <c r="I160" s="178" t="s">
        <v>256</v>
      </c>
      <c r="J160" s="178"/>
      <c r="K160" s="178"/>
    </row>
    <row r="161" spans="1:11" s="65" customFormat="1" x14ac:dyDescent="0.25">
      <c r="A161" s="202" t="s">
        <v>328</v>
      </c>
      <c r="B161" s="174" t="s">
        <v>355</v>
      </c>
      <c r="C161" s="175" t="s">
        <v>327</v>
      </c>
      <c r="D161" s="173" t="s">
        <v>306</v>
      </c>
      <c r="E161" s="173" t="s">
        <v>303</v>
      </c>
      <c r="F161" s="173" t="s">
        <v>43</v>
      </c>
      <c r="G161" s="173" t="s">
        <v>43</v>
      </c>
      <c r="H161" s="173" t="s">
        <v>43</v>
      </c>
      <c r="I161" s="173" t="s">
        <v>15</v>
      </c>
      <c r="J161" s="173" t="s">
        <v>637</v>
      </c>
      <c r="K161" s="173" t="s">
        <v>329</v>
      </c>
    </row>
    <row r="162" spans="1:11" s="65" customFormat="1" x14ac:dyDescent="0.25">
      <c r="A162" s="202"/>
      <c r="B162" s="174" t="s">
        <v>448</v>
      </c>
      <c r="C162" s="174" t="s">
        <v>452</v>
      </c>
      <c r="D162" s="173" t="s">
        <v>13</v>
      </c>
      <c r="E162" s="173" t="s">
        <v>14</v>
      </c>
      <c r="F162" s="173" t="s">
        <v>14</v>
      </c>
      <c r="G162" s="173" t="s">
        <v>13</v>
      </c>
      <c r="H162" s="173" t="s">
        <v>14</v>
      </c>
      <c r="I162" s="173" t="s">
        <v>15</v>
      </c>
      <c r="J162" s="173" t="s">
        <v>453</v>
      </c>
      <c r="K162" s="173" t="s">
        <v>454</v>
      </c>
    </row>
    <row r="163" spans="1:11" s="65" customFormat="1" x14ac:dyDescent="0.25">
      <c r="A163" s="202"/>
      <c r="B163" s="174" t="s">
        <v>448</v>
      </c>
      <c r="C163" s="174" t="s">
        <v>455</v>
      </c>
      <c r="D163" s="173" t="s">
        <v>13</v>
      </c>
      <c r="E163" s="173" t="s">
        <v>14</v>
      </c>
      <c r="F163" s="173" t="s">
        <v>14</v>
      </c>
      <c r="G163" s="173" t="s">
        <v>13</v>
      </c>
      <c r="H163" s="173" t="s">
        <v>14</v>
      </c>
      <c r="I163" s="173" t="s">
        <v>15</v>
      </c>
      <c r="J163" s="173" t="s">
        <v>456</v>
      </c>
      <c r="K163" s="173" t="s">
        <v>457</v>
      </c>
    </row>
    <row r="164" spans="1:11" s="51" customFormat="1" x14ac:dyDescent="0.25">
      <c r="A164" s="202" t="s">
        <v>88</v>
      </c>
      <c r="B164" s="174" t="s">
        <v>117</v>
      </c>
      <c r="C164" s="174" t="s">
        <v>87</v>
      </c>
      <c r="D164" s="173" t="s">
        <v>14</v>
      </c>
      <c r="E164" s="173" t="s">
        <v>14</v>
      </c>
      <c r="F164" s="173" t="s">
        <v>13</v>
      </c>
      <c r="G164" s="173" t="s">
        <v>14</v>
      </c>
      <c r="H164" s="173" t="s">
        <v>14</v>
      </c>
      <c r="I164" s="173" t="s">
        <v>40</v>
      </c>
      <c r="J164" s="173" t="s">
        <v>89</v>
      </c>
      <c r="K164" s="173" t="s">
        <v>77</v>
      </c>
    </row>
    <row r="165" spans="1:11" s="51" customFormat="1" x14ac:dyDescent="0.25">
      <c r="A165" s="202"/>
      <c r="B165" s="174" t="s">
        <v>172</v>
      </c>
      <c r="C165" s="174" t="s">
        <v>153</v>
      </c>
      <c r="D165" s="173" t="s">
        <v>14</v>
      </c>
      <c r="E165" s="173" t="s">
        <v>14</v>
      </c>
      <c r="F165" s="173" t="s">
        <v>14</v>
      </c>
      <c r="G165" s="173" t="s">
        <v>14</v>
      </c>
      <c r="H165" s="173" t="s">
        <v>14</v>
      </c>
      <c r="I165" s="173" t="s">
        <v>15</v>
      </c>
      <c r="J165" s="173" t="s">
        <v>154</v>
      </c>
      <c r="K165" s="173" t="s">
        <v>155</v>
      </c>
    </row>
    <row r="166" spans="1:11" s="51" customFormat="1" x14ac:dyDescent="0.25">
      <c r="A166" s="202"/>
      <c r="B166" s="174" t="s">
        <v>172</v>
      </c>
      <c r="C166" s="174" t="s">
        <v>156</v>
      </c>
      <c r="D166" s="173" t="s">
        <v>13</v>
      </c>
      <c r="E166" s="173" t="s">
        <v>14</v>
      </c>
      <c r="F166" s="173" t="s">
        <v>157</v>
      </c>
      <c r="G166" s="173" t="s">
        <v>14</v>
      </c>
      <c r="H166" s="173" t="s">
        <v>14</v>
      </c>
      <c r="I166" s="173" t="s">
        <v>15</v>
      </c>
      <c r="J166" s="173" t="s">
        <v>158</v>
      </c>
      <c r="K166" s="173" t="s">
        <v>159</v>
      </c>
    </row>
    <row r="167" spans="1:11" s="51" customFormat="1" x14ac:dyDescent="0.25">
      <c r="A167" s="202"/>
      <c r="B167" s="174" t="s">
        <v>172</v>
      </c>
      <c r="C167" s="174" t="s">
        <v>160</v>
      </c>
      <c r="D167" s="173" t="s">
        <v>13</v>
      </c>
      <c r="E167" s="173" t="s">
        <v>14</v>
      </c>
      <c r="F167" s="173" t="s">
        <v>161</v>
      </c>
      <c r="G167" s="173" t="s">
        <v>14</v>
      </c>
      <c r="H167" s="173" t="s">
        <v>13</v>
      </c>
      <c r="I167" s="173" t="s">
        <v>15</v>
      </c>
      <c r="J167" s="173" t="s">
        <v>162</v>
      </c>
      <c r="K167" s="173"/>
    </row>
    <row r="168" spans="1:11" s="51" customFormat="1" x14ac:dyDescent="0.25">
      <c r="A168" s="202"/>
      <c r="B168" s="174" t="s">
        <v>355</v>
      </c>
      <c r="C168" s="175" t="s">
        <v>334</v>
      </c>
      <c r="D168" s="173" t="s">
        <v>43</v>
      </c>
      <c r="E168" s="173" t="s">
        <v>43</v>
      </c>
      <c r="F168" s="173" t="s">
        <v>43</v>
      </c>
      <c r="G168" s="173" t="s">
        <v>43</v>
      </c>
      <c r="H168" s="173" t="s">
        <v>306</v>
      </c>
      <c r="I168" s="173" t="s">
        <v>15</v>
      </c>
      <c r="J168" s="173" t="s">
        <v>639</v>
      </c>
      <c r="K168" s="173" t="s">
        <v>335</v>
      </c>
    </row>
    <row r="169" spans="1:11" s="51" customFormat="1" x14ac:dyDescent="0.25">
      <c r="A169" s="202"/>
      <c r="B169" s="174" t="s">
        <v>355</v>
      </c>
      <c r="C169" s="175" t="s">
        <v>336</v>
      </c>
      <c r="D169" s="173" t="s">
        <v>306</v>
      </c>
      <c r="E169" s="173" t="s">
        <v>43</v>
      </c>
      <c r="F169" s="173" t="s">
        <v>43</v>
      </c>
      <c r="G169" s="173" t="s">
        <v>43</v>
      </c>
      <c r="H169" s="173" t="s">
        <v>306</v>
      </c>
      <c r="I169" s="173" t="s">
        <v>15</v>
      </c>
      <c r="J169" s="173" t="s">
        <v>337</v>
      </c>
      <c r="K169" s="173" t="s">
        <v>338</v>
      </c>
    </row>
    <row r="170" spans="1:11" s="102" customFormat="1" x14ac:dyDescent="0.25">
      <c r="A170" s="202" t="s">
        <v>75</v>
      </c>
      <c r="B170" s="174" t="s">
        <v>117</v>
      </c>
      <c r="C170" s="174" t="s">
        <v>74</v>
      </c>
      <c r="D170" s="173" t="s">
        <v>14</v>
      </c>
      <c r="E170" s="173" t="s">
        <v>13</v>
      </c>
      <c r="F170" s="173" t="s">
        <v>13</v>
      </c>
      <c r="G170" s="173" t="s">
        <v>14</v>
      </c>
      <c r="H170" s="173" t="s">
        <v>14</v>
      </c>
      <c r="I170" s="173" t="s">
        <v>40</v>
      </c>
      <c r="J170" s="173" t="s">
        <v>76</v>
      </c>
      <c r="K170" s="173" t="s">
        <v>77</v>
      </c>
    </row>
    <row r="171" spans="1:11" s="102" customFormat="1" x14ac:dyDescent="0.25">
      <c r="A171" s="202"/>
      <c r="B171" s="174" t="s">
        <v>117</v>
      </c>
      <c r="C171" s="174" t="s">
        <v>78</v>
      </c>
      <c r="D171" s="173" t="s">
        <v>14</v>
      </c>
      <c r="E171" s="173" t="s">
        <v>14</v>
      </c>
      <c r="F171" s="173" t="s">
        <v>13</v>
      </c>
      <c r="G171" s="173" t="s">
        <v>14</v>
      </c>
      <c r="H171" s="173" t="s">
        <v>14</v>
      </c>
      <c r="I171" s="173" t="s">
        <v>40</v>
      </c>
      <c r="J171" s="173" t="s">
        <v>79</v>
      </c>
      <c r="K171" s="173" t="s">
        <v>77</v>
      </c>
    </row>
    <row r="172" spans="1:11" s="102" customFormat="1" x14ac:dyDescent="0.25">
      <c r="A172" s="202"/>
      <c r="B172" s="174" t="s">
        <v>117</v>
      </c>
      <c r="C172" s="174" t="s">
        <v>80</v>
      </c>
      <c r="D172" s="173" t="s">
        <v>14</v>
      </c>
      <c r="E172" s="173" t="s">
        <v>14</v>
      </c>
      <c r="F172" s="173" t="s">
        <v>13</v>
      </c>
      <c r="G172" s="173" t="s">
        <v>14</v>
      </c>
      <c r="H172" s="173" t="s">
        <v>14</v>
      </c>
      <c r="I172" s="173" t="s">
        <v>40</v>
      </c>
      <c r="J172" s="173" t="s">
        <v>81</v>
      </c>
      <c r="K172" s="173" t="s">
        <v>82</v>
      </c>
    </row>
    <row r="173" spans="1:11" s="102" customFormat="1" x14ac:dyDescent="0.25">
      <c r="A173" s="202"/>
      <c r="B173" s="174" t="s">
        <v>117</v>
      </c>
      <c r="C173" s="174" t="s">
        <v>83</v>
      </c>
      <c r="D173" s="173" t="s">
        <v>14</v>
      </c>
      <c r="E173" s="173" t="s">
        <v>14</v>
      </c>
      <c r="F173" s="173" t="s">
        <v>13</v>
      </c>
      <c r="G173" s="173" t="s">
        <v>14</v>
      </c>
      <c r="H173" s="173" t="s">
        <v>14</v>
      </c>
      <c r="I173" s="173" t="s">
        <v>40</v>
      </c>
      <c r="J173" s="173" t="s">
        <v>84</v>
      </c>
      <c r="K173" s="173" t="s">
        <v>77</v>
      </c>
    </row>
    <row r="174" spans="1:11" s="102" customFormat="1" x14ac:dyDescent="0.25">
      <c r="A174" s="202"/>
      <c r="B174" s="174" t="s">
        <v>117</v>
      </c>
      <c r="C174" s="174" t="s">
        <v>85</v>
      </c>
      <c r="D174" s="173" t="s">
        <v>14</v>
      </c>
      <c r="E174" s="173" t="s">
        <v>14</v>
      </c>
      <c r="F174" s="173" t="s">
        <v>13</v>
      </c>
      <c r="G174" s="173" t="s">
        <v>14</v>
      </c>
      <c r="H174" s="173" t="s">
        <v>14</v>
      </c>
      <c r="I174" s="173" t="s">
        <v>40</v>
      </c>
      <c r="J174" s="173" t="s">
        <v>86</v>
      </c>
      <c r="K174" s="173" t="s">
        <v>77</v>
      </c>
    </row>
    <row r="175" spans="1:11" s="102" customFormat="1" x14ac:dyDescent="0.25">
      <c r="A175" s="202"/>
      <c r="B175" s="174" t="s">
        <v>117</v>
      </c>
      <c r="C175" s="174" t="s">
        <v>90</v>
      </c>
      <c r="D175" s="173" t="s">
        <v>14</v>
      </c>
      <c r="E175" s="173" t="s">
        <v>14</v>
      </c>
      <c r="F175" s="173" t="s">
        <v>13</v>
      </c>
      <c r="G175" s="173" t="s">
        <v>14</v>
      </c>
      <c r="H175" s="173" t="s">
        <v>14</v>
      </c>
      <c r="I175" s="173" t="s">
        <v>40</v>
      </c>
      <c r="J175" s="173" t="s">
        <v>91</v>
      </c>
      <c r="K175" s="173" t="s">
        <v>77</v>
      </c>
    </row>
    <row r="176" spans="1:11" s="102" customFormat="1" x14ac:dyDescent="0.25">
      <c r="A176" s="202"/>
      <c r="B176" s="174" t="s">
        <v>117</v>
      </c>
      <c r="C176" s="174" t="s">
        <v>92</v>
      </c>
      <c r="D176" s="173" t="s">
        <v>14</v>
      </c>
      <c r="E176" s="173" t="s">
        <v>14</v>
      </c>
      <c r="F176" s="173" t="s">
        <v>14</v>
      </c>
      <c r="G176" s="173" t="s">
        <v>14</v>
      </c>
      <c r="H176" s="173" t="s">
        <v>14</v>
      </c>
      <c r="I176" s="173" t="s">
        <v>40</v>
      </c>
      <c r="J176" s="173" t="s">
        <v>93</v>
      </c>
      <c r="K176" s="173" t="s">
        <v>77</v>
      </c>
    </row>
    <row r="177" spans="1:11" s="102" customFormat="1" x14ac:dyDescent="0.25">
      <c r="A177" s="202"/>
      <c r="B177" s="174" t="s">
        <v>117</v>
      </c>
      <c r="C177" s="174" t="s">
        <v>94</v>
      </c>
      <c r="D177" s="173" t="s">
        <v>14</v>
      </c>
      <c r="E177" s="173" t="s">
        <v>14</v>
      </c>
      <c r="F177" s="173" t="s">
        <v>13</v>
      </c>
      <c r="G177" s="173" t="s">
        <v>14</v>
      </c>
      <c r="H177" s="173" t="s">
        <v>14</v>
      </c>
      <c r="I177" s="173" t="s">
        <v>40</v>
      </c>
      <c r="J177" s="173" t="s">
        <v>95</v>
      </c>
      <c r="K177" s="173" t="s">
        <v>77</v>
      </c>
    </row>
    <row r="178" spans="1:11" s="102" customFormat="1" x14ac:dyDescent="0.25">
      <c r="A178" s="202"/>
      <c r="B178" s="174" t="s">
        <v>117</v>
      </c>
      <c r="C178" s="174" t="s">
        <v>100</v>
      </c>
      <c r="D178" s="173" t="s">
        <v>14</v>
      </c>
      <c r="E178" s="173" t="s">
        <v>14</v>
      </c>
      <c r="F178" s="173" t="s">
        <v>13</v>
      </c>
      <c r="G178" s="173" t="s">
        <v>14</v>
      </c>
      <c r="H178" s="173" t="s">
        <v>14</v>
      </c>
      <c r="I178" s="173" t="s">
        <v>40</v>
      </c>
      <c r="J178" s="173" t="s">
        <v>101</v>
      </c>
      <c r="K178" s="173" t="s">
        <v>77</v>
      </c>
    </row>
    <row r="179" spans="1:11" s="102" customFormat="1" x14ac:dyDescent="0.25">
      <c r="A179" s="202"/>
      <c r="B179" s="174" t="s">
        <v>117</v>
      </c>
      <c r="C179" s="174" t="s">
        <v>102</v>
      </c>
      <c r="D179" s="173" t="s">
        <v>14</v>
      </c>
      <c r="E179" s="173" t="s">
        <v>14</v>
      </c>
      <c r="F179" s="173" t="s">
        <v>13</v>
      </c>
      <c r="G179" s="173" t="s">
        <v>14</v>
      </c>
      <c r="H179" s="173" t="s">
        <v>14</v>
      </c>
      <c r="I179" s="173" t="s">
        <v>40</v>
      </c>
      <c r="J179" s="173" t="s">
        <v>103</v>
      </c>
      <c r="K179" s="173" t="s">
        <v>77</v>
      </c>
    </row>
    <row r="180" spans="1:11" s="102" customFormat="1" x14ac:dyDescent="0.25">
      <c r="A180" s="202"/>
      <c r="B180" s="174" t="s">
        <v>117</v>
      </c>
      <c r="C180" s="174" t="s">
        <v>107</v>
      </c>
      <c r="D180" s="173" t="s">
        <v>14</v>
      </c>
      <c r="E180" s="173" t="s">
        <v>14</v>
      </c>
      <c r="F180" s="173" t="s">
        <v>13</v>
      </c>
      <c r="G180" s="173" t="s">
        <v>14</v>
      </c>
      <c r="H180" s="173" t="s">
        <v>14</v>
      </c>
      <c r="I180" s="173" t="s">
        <v>40</v>
      </c>
      <c r="J180" s="173" t="s">
        <v>108</v>
      </c>
      <c r="K180" s="173" t="s">
        <v>77</v>
      </c>
    </row>
    <row r="181" spans="1:11" s="102" customFormat="1" x14ac:dyDescent="0.25">
      <c r="A181" s="202"/>
      <c r="B181" s="174" t="s">
        <v>117</v>
      </c>
      <c r="C181" s="174" t="s">
        <v>109</v>
      </c>
      <c r="D181" s="173" t="s">
        <v>14</v>
      </c>
      <c r="E181" s="173" t="s">
        <v>14</v>
      </c>
      <c r="F181" s="173" t="s">
        <v>13</v>
      </c>
      <c r="G181" s="173" t="s">
        <v>14</v>
      </c>
      <c r="H181" s="173" t="s">
        <v>14</v>
      </c>
      <c r="I181" s="173" t="s">
        <v>40</v>
      </c>
      <c r="J181" s="173" t="s">
        <v>110</v>
      </c>
      <c r="K181" s="173" t="s">
        <v>77</v>
      </c>
    </row>
    <row r="182" spans="1:11" s="102" customFormat="1" x14ac:dyDescent="0.25">
      <c r="A182" s="202"/>
      <c r="B182" s="174" t="s">
        <v>117</v>
      </c>
      <c r="C182" s="174" t="s">
        <v>112</v>
      </c>
      <c r="D182" s="173" t="s">
        <v>14</v>
      </c>
      <c r="E182" s="173" t="s">
        <v>14</v>
      </c>
      <c r="F182" s="173" t="s">
        <v>13</v>
      </c>
      <c r="G182" s="173" t="s">
        <v>14</v>
      </c>
      <c r="H182" s="173" t="s">
        <v>14</v>
      </c>
      <c r="I182" s="173" t="s">
        <v>40</v>
      </c>
      <c r="J182" s="173" t="s">
        <v>112</v>
      </c>
      <c r="K182" s="173" t="s">
        <v>77</v>
      </c>
    </row>
    <row r="183" spans="1:11" s="102" customFormat="1" x14ac:dyDescent="0.25">
      <c r="A183" s="202"/>
      <c r="B183" s="174" t="s">
        <v>281</v>
      </c>
      <c r="C183" s="174" t="s">
        <v>282</v>
      </c>
      <c r="D183" s="173" t="s">
        <v>35</v>
      </c>
      <c r="E183" s="173" t="s">
        <v>14</v>
      </c>
      <c r="F183" s="173" t="s">
        <v>14</v>
      </c>
      <c r="G183" s="173" t="s">
        <v>14</v>
      </c>
      <c r="H183" s="173" t="s">
        <v>14</v>
      </c>
      <c r="I183" s="173" t="s">
        <v>15</v>
      </c>
      <c r="J183" s="173" t="s">
        <v>283</v>
      </c>
      <c r="K183" s="173" t="s">
        <v>284</v>
      </c>
    </row>
    <row r="184" spans="1:11" s="102" customFormat="1" x14ac:dyDescent="0.25">
      <c r="A184" s="202"/>
      <c r="B184" s="174" t="s">
        <v>355</v>
      </c>
      <c r="C184" s="175" t="s">
        <v>318</v>
      </c>
      <c r="D184" s="173" t="s">
        <v>43</v>
      </c>
      <c r="E184" s="173" t="s">
        <v>43</v>
      </c>
      <c r="F184" s="173" t="s">
        <v>43</v>
      </c>
      <c r="G184" s="173" t="s">
        <v>43</v>
      </c>
      <c r="H184" s="173" t="s">
        <v>43</v>
      </c>
      <c r="I184" s="173" t="s">
        <v>15</v>
      </c>
      <c r="J184" s="173" t="s">
        <v>319</v>
      </c>
      <c r="K184" s="173" t="s">
        <v>320</v>
      </c>
    </row>
    <row r="185" spans="1:11" s="102" customFormat="1" x14ac:dyDescent="0.25">
      <c r="A185" s="202"/>
      <c r="B185" s="174" t="s">
        <v>355</v>
      </c>
      <c r="C185" s="175" t="s">
        <v>173</v>
      </c>
      <c r="D185" s="173" t="s">
        <v>306</v>
      </c>
      <c r="E185" s="173" t="s">
        <v>43</v>
      </c>
      <c r="F185" s="173" t="s">
        <v>43</v>
      </c>
      <c r="G185" s="173" t="s">
        <v>43</v>
      </c>
      <c r="H185" s="173" t="s">
        <v>306</v>
      </c>
      <c r="I185" s="173" t="s">
        <v>15</v>
      </c>
      <c r="J185" s="173" t="s">
        <v>321</v>
      </c>
      <c r="K185" s="173" t="s">
        <v>322</v>
      </c>
    </row>
    <row r="186" spans="1:11" s="102" customFormat="1" x14ac:dyDescent="0.25">
      <c r="A186" s="202"/>
      <c r="B186" s="174" t="s">
        <v>355</v>
      </c>
      <c r="C186" s="175" t="s">
        <v>323</v>
      </c>
      <c r="D186" s="173" t="s">
        <v>306</v>
      </c>
      <c r="E186" s="173" t="s">
        <v>43</v>
      </c>
      <c r="F186" s="173" t="s">
        <v>43</v>
      </c>
      <c r="G186" s="173" t="s">
        <v>43</v>
      </c>
      <c r="H186" s="173" t="s">
        <v>306</v>
      </c>
      <c r="I186" s="173" t="s">
        <v>15</v>
      </c>
      <c r="J186" s="173" t="s">
        <v>319</v>
      </c>
      <c r="K186" s="173" t="s">
        <v>324</v>
      </c>
    </row>
    <row r="187" spans="1:11" s="102" customFormat="1" x14ac:dyDescent="0.25">
      <c r="A187" s="202"/>
      <c r="B187" s="174" t="s">
        <v>355</v>
      </c>
      <c r="C187" s="175" t="s">
        <v>325</v>
      </c>
      <c r="D187" s="173" t="s">
        <v>306</v>
      </c>
      <c r="E187" s="173" t="s">
        <v>43</v>
      </c>
      <c r="F187" s="173" t="s">
        <v>43</v>
      </c>
      <c r="G187" s="173" t="s">
        <v>43</v>
      </c>
      <c r="H187" s="173" t="s">
        <v>43</v>
      </c>
      <c r="I187" s="173" t="s">
        <v>15</v>
      </c>
      <c r="J187" s="173" t="s">
        <v>319</v>
      </c>
      <c r="K187" s="173" t="s">
        <v>326</v>
      </c>
    </row>
    <row r="188" spans="1:11" s="102" customFormat="1" x14ac:dyDescent="0.25">
      <c r="A188" s="202"/>
      <c r="B188" s="174" t="s">
        <v>355</v>
      </c>
      <c r="C188" s="175" t="s">
        <v>344</v>
      </c>
      <c r="D188" s="173" t="s">
        <v>306</v>
      </c>
      <c r="E188" s="173" t="s">
        <v>43</v>
      </c>
      <c r="F188" s="173" t="s">
        <v>43</v>
      </c>
      <c r="G188" s="173" t="s">
        <v>43</v>
      </c>
      <c r="H188" s="173" t="s">
        <v>306</v>
      </c>
      <c r="I188" s="173" t="s">
        <v>15</v>
      </c>
      <c r="J188" s="173" t="s">
        <v>641</v>
      </c>
      <c r="K188" s="173" t="s">
        <v>345</v>
      </c>
    </row>
    <row r="189" spans="1:11" s="102" customFormat="1" x14ac:dyDescent="0.25">
      <c r="A189" s="202"/>
      <c r="B189" s="174" t="s">
        <v>355</v>
      </c>
      <c r="C189" s="175" t="s">
        <v>353</v>
      </c>
      <c r="D189" s="173" t="s">
        <v>306</v>
      </c>
      <c r="E189" s="173" t="s">
        <v>303</v>
      </c>
      <c r="F189" s="173" t="s">
        <v>43</v>
      </c>
      <c r="G189" s="173" t="s">
        <v>43</v>
      </c>
      <c r="H189" s="173" t="s">
        <v>43</v>
      </c>
      <c r="I189" s="173" t="s">
        <v>15</v>
      </c>
      <c r="J189" s="173" t="s">
        <v>642</v>
      </c>
      <c r="K189" s="173" t="s">
        <v>354</v>
      </c>
    </row>
    <row r="190" spans="1:11" s="102" customFormat="1" x14ac:dyDescent="0.25">
      <c r="A190" s="202"/>
      <c r="B190" s="174" t="s">
        <v>469</v>
      </c>
      <c r="C190" s="174" t="s">
        <v>470</v>
      </c>
      <c r="D190" s="173" t="s">
        <v>13</v>
      </c>
      <c r="E190" s="173" t="s">
        <v>13</v>
      </c>
      <c r="F190" s="173" t="s">
        <v>14</v>
      </c>
      <c r="G190" s="173" t="s">
        <v>14</v>
      </c>
      <c r="H190" s="173" t="s">
        <v>14</v>
      </c>
      <c r="I190" s="173" t="s">
        <v>15</v>
      </c>
      <c r="J190" s="173" t="s">
        <v>471</v>
      </c>
      <c r="K190" s="173" t="s">
        <v>472</v>
      </c>
    </row>
    <row r="191" spans="1:11" s="102" customFormat="1" x14ac:dyDescent="0.25">
      <c r="A191" s="202"/>
      <c r="B191" s="174" t="s">
        <v>588</v>
      </c>
      <c r="C191" s="174" t="s">
        <v>173</v>
      </c>
      <c r="D191" s="173" t="s">
        <v>13</v>
      </c>
      <c r="E191" s="173" t="s">
        <v>13</v>
      </c>
      <c r="F191" s="173" t="s">
        <v>13</v>
      </c>
      <c r="G191" s="173"/>
      <c r="H191" s="173" t="s">
        <v>13</v>
      </c>
      <c r="I191" s="173" t="s">
        <v>15</v>
      </c>
      <c r="J191" s="173" t="s">
        <v>596</v>
      </c>
      <c r="K191" s="173" t="s">
        <v>597</v>
      </c>
    </row>
    <row r="192" spans="1:11" s="102" customFormat="1" x14ac:dyDescent="0.25">
      <c r="A192" s="202"/>
      <c r="B192" s="174" t="s">
        <v>588</v>
      </c>
      <c r="C192" s="174" t="s">
        <v>598</v>
      </c>
      <c r="D192" s="173" t="s">
        <v>13</v>
      </c>
      <c r="E192" s="173" t="s">
        <v>14</v>
      </c>
      <c r="F192" s="173" t="s">
        <v>14</v>
      </c>
      <c r="G192" s="173" t="s">
        <v>13</v>
      </c>
      <c r="H192" s="173" t="s">
        <v>13</v>
      </c>
      <c r="I192" s="173" t="s">
        <v>15</v>
      </c>
      <c r="J192" s="173" t="s">
        <v>599</v>
      </c>
      <c r="K192" s="173" t="s">
        <v>600</v>
      </c>
    </row>
    <row r="193" spans="1:11" s="102" customFormat="1" x14ac:dyDescent="0.25">
      <c r="A193" s="202"/>
      <c r="B193" s="174" t="s">
        <v>664</v>
      </c>
      <c r="C193" s="174" t="s">
        <v>656</v>
      </c>
      <c r="D193" s="173" t="s">
        <v>306</v>
      </c>
      <c r="E193" s="173" t="s">
        <v>43</v>
      </c>
      <c r="F193" s="173" t="s">
        <v>43</v>
      </c>
      <c r="G193" s="173" t="s">
        <v>43</v>
      </c>
      <c r="H193" s="173" t="s">
        <v>43</v>
      </c>
      <c r="I193" s="173" t="s">
        <v>657</v>
      </c>
      <c r="J193" s="173" t="s">
        <v>658</v>
      </c>
      <c r="K193" s="173"/>
    </row>
    <row r="194" spans="1:11" s="102" customFormat="1" x14ac:dyDescent="0.25">
      <c r="A194" s="202"/>
      <c r="B194" s="174" t="s">
        <v>664</v>
      </c>
      <c r="C194" s="174" t="s">
        <v>662</v>
      </c>
      <c r="D194" s="173" t="s">
        <v>306</v>
      </c>
      <c r="E194" s="173" t="s">
        <v>43</v>
      </c>
      <c r="F194" s="173" t="s">
        <v>43</v>
      </c>
      <c r="G194" s="173" t="s">
        <v>43</v>
      </c>
      <c r="H194" s="173" t="s">
        <v>43</v>
      </c>
      <c r="I194" s="173" t="s">
        <v>663</v>
      </c>
      <c r="J194" s="173" t="s">
        <v>658</v>
      </c>
      <c r="K194" s="173"/>
    </row>
    <row r="195" spans="1:11" s="75" customFormat="1" x14ac:dyDescent="0.25">
      <c r="A195" s="202" t="s">
        <v>187</v>
      </c>
      <c r="B195" s="174" t="s">
        <v>32</v>
      </c>
      <c r="C195" s="174" t="s">
        <v>33</v>
      </c>
      <c r="D195" s="173" t="s">
        <v>13</v>
      </c>
      <c r="E195" s="173" t="s">
        <v>14</v>
      </c>
      <c r="F195" s="173" t="s">
        <v>14</v>
      </c>
      <c r="G195" s="173" t="s">
        <v>14</v>
      </c>
      <c r="H195" s="173" t="s">
        <v>14</v>
      </c>
      <c r="I195" s="173" t="s">
        <v>15</v>
      </c>
      <c r="J195" s="173" t="s">
        <v>36</v>
      </c>
      <c r="K195" s="173" t="s">
        <v>37</v>
      </c>
    </row>
    <row r="196" spans="1:11" s="75" customFormat="1" x14ac:dyDescent="0.25">
      <c r="A196" s="202"/>
      <c r="B196" s="174" t="s">
        <v>186</v>
      </c>
      <c r="C196" s="174" t="s">
        <v>183</v>
      </c>
      <c r="D196" s="173" t="s">
        <v>14</v>
      </c>
      <c r="E196" s="173" t="s">
        <v>14</v>
      </c>
      <c r="F196" s="173" t="s">
        <v>14</v>
      </c>
      <c r="G196" s="173" t="s">
        <v>14</v>
      </c>
      <c r="H196" s="173" t="s">
        <v>14</v>
      </c>
      <c r="I196" s="173" t="s">
        <v>40</v>
      </c>
      <c r="J196" s="173" t="s">
        <v>184</v>
      </c>
      <c r="K196" s="173" t="s">
        <v>185</v>
      </c>
    </row>
    <row r="197" spans="1:11" s="75" customFormat="1" x14ac:dyDescent="0.25">
      <c r="A197" s="202"/>
      <c r="B197" s="174" t="s">
        <v>197</v>
      </c>
      <c r="C197" s="174" t="s">
        <v>193</v>
      </c>
      <c r="D197" s="173" t="s">
        <v>13</v>
      </c>
      <c r="E197" s="173" t="s">
        <v>14</v>
      </c>
      <c r="F197" s="173"/>
      <c r="G197" s="173" t="s">
        <v>14</v>
      </c>
      <c r="H197" s="173" t="s">
        <v>14</v>
      </c>
      <c r="I197" s="173" t="s">
        <v>15</v>
      </c>
      <c r="J197" s="173" t="s">
        <v>190</v>
      </c>
      <c r="K197" s="173" t="s">
        <v>194</v>
      </c>
    </row>
    <row r="198" spans="1:11" s="75" customFormat="1" x14ac:dyDescent="0.25">
      <c r="A198" s="202"/>
      <c r="B198" s="174" t="s">
        <v>197</v>
      </c>
      <c r="C198" s="174" t="s">
        <v>195</v>
      </c>
      <c r="D198" s="173" t="s">
        <v>13</v>
      </c>
      <c r="E198" s="173" t="s">
        <v>14</v>
      </c>
      <c r="F198" s="173"/>
      <c r="G198" s="173" t="s">
        <v>14</v>
      </c>
      <c r="H198" s="173" t="s">
        <v>14</v>
      </c>
      <c r="I198" s="173" t="s">
        <v>15</v>
      </c>
      <c r="J198" s="173" t="s">
        <v>190</v>
      </c>
      <c r="K198" s="173" t="s">
        <v>194</v>
      </c>
    </row>
    <row r="199" spans="1:11" s="75" customFormat="1" x14ac:dyDescent="0.25">
      <c r="A199" s="202"/>
      <c r="B199" s="174" t="s">
        <v>197</v>
      </c>
      <c r="C199" s="174" t="s">
        <v>196</v>
      </c>
      <c r="D199" s="173" t="s">
        <v>13</v>
      </c>
      <c r="E199" s="173" t="s">
        <v>14</v>
      </c>
      <c r="F199" s="173"/>
      <c r="G199" s="173" t="s">
        <v>14</v>
      </c>
      <c r="H199" s="173" t="s">
        <v>14</v>
      </c>
      <c r="I199" s="173" t="s">
        <v>15</v>
      </c>
      <c r="J199" s="173" t="s">
        <v>190</v>
      </c>
      <c r="K199" s="173" t="s">
        <v>194</v>
      </c>
    </row>
    <row r="200" spans="1:11" s="75" customFormat="1" x14ac:dyDescent="0.25">
      <c r="A200" s="202"/>
      <c r="B200" s="174" t="s">
        <v>267</v>
      </c>
      <c r="C200" s="174" t="s">
        <v>210</v>
      </c>
      <c r="D200" s="173" t="s">
        <v>14</v>
      </c>
      <c r="E200" s="173" t="s">
        <v>14</v>
      </c>
      <c r="F200" s="173" t="s">
        <v>14</v>
      </c>
      <c r="G200" s="173" t="s">
        <v>14</v>
      </c>
      <c r="H200" s="173" t="s">
        <v>14</v>
      </c>
      <c r="I200" s="173" t="s">
        <v>15</v>
      </c>
      <c r="J200" s="173" t="s">
        <v>199</v>
      </c>
      <c r="K200" s="173" t="s">
        <v>204</v>
      </c>
    </row>
    <row r="201" spans="1:11" s="75" customFormat="1" x14ac:dyDescent="0.25">
      <c r="A201" s="202"/>
      <c r="B201" s="174" t="s">
        <v>267</v>
      </c>
      <c r="C201" s="174" t="s">
        <v>214</v>
      </c>
      <c r="D201" s="173" t="s">
        <v>14</v>
      </c>
      <c r="E201" s="173" t="s">
        <v>14</v>
      </c>
      <c r="F201" s="173" t="s">
        <v>14</v>
      </c>
      <c r="G201" s="173" t="s">
        <v>14</v>
      </c>
      <c r="H201" s="173" t="s">
        <v>14</v>
      </c>
      <c r="I201" s="173" t="s">
        <v>15</v>
      </c>
      <c r="J201" s="173" t="s">
        <v>199</v>
      </c>
      <c r="K201" s="173"/>
    </row>
    <row r="202" spans="1:11" s="75" customFormat="1" x14ac:dyDescent="0.25">
      <c r="A202" s="202"/>
      <c r="B202" s="174" t="s">
        <v>267</v>
      </c>
      <c r="C202" s="174" t="s">
        <v>214</v>
      </c>
      <c r="D202" s="173" t="s">
        <v>14</v>
      </c>
      <c r="E202" s="173" t="s">
        <v>14</v>
      </c>
      <c r="F202" s="173" t="s">
        <v>14</v>
      </c>
      <c r="G202" s="173" t="s">
        <v>14</v>
      </c>
      <c r="H202" s="173" t="s">
        <v>14</v>
      </c>
      <c r="I202" s="173" t="s">
        <v>15</v>
      </c>
      <c r="J202" s="173" t="s">
        <v>199</v>
      </c>
      <c r="K202" s="173"/>
    </row>
    <row r="203" spans="1:11" s="75" customFormat="1" x14ac:dyDescent="0.25">
      <c r="A203" s="202"/>
      <c r="B203" s="174" t="s">
        <v>357</v>
      </c>
      <c r="C203" s="174" t="s">
        <v>367</v>
      </c>
      <c r="D203" s="173" t="s">
        <v>14</v>
      </c>
      <c r="E203" s="173" t="s">
        <v>14</v>
      </c>
      <c r="F203" s="173" t="s">
        <v>14</v>
      </c>
      <c r="G203" s="173" t="s">
        <v>14</v>
      </c>
      <c r="H203" s="173" t="s">
        <v>14</v>
      </c>
      <c r="I203" s="173" t="s">
        <v>15</v>
      </c>
      <c r="J203" s="173" t="s">
        <v>643</v>
      </c>
      <c r="K203" s="173" t="s">
        <v>368</v>
      </c>
    </row>
    <row r="204" spans="1:11" s="75" customFormat="1" x14ac:dyDescent="0.25">
      <c r="A204" s="202"/>
      <c r="B204" s="174" t="s">
        <v>442</v>
      </c>
      <c r="C204" s="174" t="s">
        <v>434</v>
      </c>
      <c r="D204" s="173"/>
      <c r="E204" s="173" t="s">
        <v>14</v>
      </c>
      <c r="F204" s="173" t="s">
        <v>14</v>
      </c>
      <c r="G204" s="173" t="s">
        <v>14</v>
      </c>
      <c r="H204" s="173" t="s">
        <v>14</v>
      </c>
      <c r="I204" s="173" t="s">
        <v>40</v>
      </c>
      <c r="J204" s="173"/>
      <c r="K204" s="173"/>
    </row>
    <row r="205" spans="1:11" s="75" customFormat="1" x14ac:dyDescent="0.25">
      <c r="A205" s="202"/>
      <c r="B205" s="174" t="s">
        <v>442</v>
      </c>
      <c r="C205" s="174" t="s">
        <v>438</v>
      </c>
      <c r="D205" s="173"/>
      <c r="E205" s="173" t="s">
        <v>14</v>
      </c>
      <c r="F205" s="173" t="s">
        <v>14</v>
      </c>
      <c r="G205" s="173" t="s">
        <v>14</v>
      </c>
      <c r="H205" s="173" t="s">
        <v>14</v>
      </c>
      <c r="I205" s="173" t="s">
        <v>256</v>
      </c>
      <c r="J205" s="173"/>
      <c r="K205" s="173"/>
    </row>
    <row r="206" spans="1:11" s="75" customFormat="1" x14ac:dyDescent="0.25">
      <c r="A206" s="202"/>
      <c r="B206" s="174" t="s">
        <v>588</v>
      </c>
      <c r="C206" s="174" t="s">
        <v>607</v>
      </c>
      <c r="D206" s="173" t="s">
        <v>13</v>
      </c>
      <c r="E206" s="173" t="s">
        <v>14</v>
      </c>
      <c r="F206" s="173" t="s">
        <v>14</v>
      </c>
      <c r="G206" s="173" t="s">
        <v>13</v>
      </c>
      <c r="H206" s="173" t="s">
        <v>13</v>
      </c>
      <c r="I206" s="173" t="s">
        <v>15</v>
      </c>
      <c r="J206" s="173" t="s">
        <v>608</v>
      </c>
      <c r="K206" s="173" t="s">
        <v>609</v>
      </c>
    </row>
    <row r="207" spans="1:11" s="75" customFormat="1" x14ac:dyDescent="0.25">
      <c r="A207" s="202"/>
      <c r="B207" s="174" t="s">
        <v>611</v>
      </c>
      <c r="C207" s="174" t="s">
        <v>616</v>
      </c>
      <c r="D207" s="173" t="s">
        <v>253</v>
      </c>
      <c r="E207" s="173" t="s">
        <v>253</v>
      </c>
      <c r="F207" s="173" t="s">
        <v>14</v>
      </c>
      <c r="G207" s="173" t="s">
        <v>14</v>
      </c>
      <c r="H207" s="173" t="s">
        <v>14</v>
      </c>
      <c r="I207" s="173" t="s">
        <v>15</v>
      </c>
      <c r="J207" s="173" t="s">
        <v>617</v>
      </c>
      <c r="K207" s="173" t="s">
        <v>618</v>
      </c>
    </row>
    <row r="208" spans="1:11" s="53" customFormat="1" x14ac:dyDescent="0.25">
      <c r="A208" s="202" t="s">
        <v>402</v>
      </c>
      <c r="B208" s="174" t="s">
        <v>399</v>
      </c>
      <c r="C208" s="174" t="s">
        <v>401</v>
      </c>
      <c r="D208" s="173" t="s">
        <v>14</v>
      </c>
      <c r="E208" s="173" t="s">
        <v>13</v>
      </c>
      <c r="F208" s="173" t="s">
        <v>14</v>
      </c>
      <c r="G208" s="173" t="s">
        <v>14</v>
      </c>
      <c r="H208" s="173" t="s">
        <v>13</v>
      </c>
      <c r="I208" s="173" t="s">
        <v>403</v>
      </c>
      <c r="J208" s="173"/>
      <c r="K208" s="173"/>
    </row>
    <row r="209" spans="1:11" s="53" customFormat="1" x14ac:dyDescent="0.25">
      <c r="A209" s="202"/>
      <c r="B209" s="174" t="s">
        <v>399</v>
      </c>
      <c r="C209" s="174" t="s">
        <v>404</v>
      </c>
      <c r="D209" s="173" t="s">
        <v>14</v>
      </c>
      <c r="E209" s="173" t="s">
        <v>13</v>
      </c>
      <c r="F209" s="173" t="s">
        <v>14</v>
      </c>
      <c r="G209" s="173" t="s">
        <v>14</v>
      </c>
      <c r="H209" s="173" t="s">
        <v>13</v>
      </c>
      <c r="I209" s="173" t="s">
        <v>403</v>
      </c>
      <c r="J209" s="173"/>
      <c r="K209" s="173"/>
    </row>
    <row r="210" spans="1:11" s="53" customFormat="1" x14ac:dyDescent="0.25">
      <c r="A210" s="202"/>
      <c r="B210" s="174" t="s">
        <v>631</v>
      </c>
      <c r="C210" s="174" t="s">
        <v>623</v>
      </c>
      <c r="D210" s="173" t="s">
        <v>13</v>
      </c>
      <c r="E210" s="173" t="s">
        <v>14</v>
      </c>
      <c r="F210" s="173" t="s">
        <v>13</v>
      </c>
      <c r="G210" s="173" t="s">
        <v>35</v>
      </c>
      <c r="H210" s="173" t="s">
        <v>14</v>
      </c>
      <c r="I210" s="173" t="s">
        <v>15</v>
      </c>
      <c r="J210" s="173" t="s">
        <v>624</v>
      </c>
      <c r="K210" s="173" t="s">
        <v>625</v>
      </c>
    </row>
    <row r="211" spans="1:11" s="53" customFormat="1" x14ac:dyDescent="0.25">
      <c r="A211" s="202"/>
      <c r="B211" s="174" t="s">
        <v>631</v>
      </c>
      <c r="C211" s="174" t="s">
        <v>626</v>
      </c>
      <c r="D211" s="173" t="s">
        <v>13</v>
      </c>
      <c r="E211" s="173" t="s">
        <v>14</v>
      </c>
      <c r="F211" s="173" t="s">
        <v>13</v>
      </c>
      <c r="G211" s="173" t="s">
        <v>35</v>
      </c>
      <c r="H211" s="173" t="s">
        <v>14</v>
      </c>
      <c r="I211" s="173" t="s">
        <v>15</v>
      </c>
      <c r="J211" s="173" t="s">
        <v>624</v>
      </c>
      <c r="K211" s="173" t="s">
        <v>627</v>
      </c>
    </row>
    <row r="212" spans="1:11" s="53" customFormat="1" x14ac:dyDescent="0.25">
      <c r="A212" s="202"/>
      <c r="B212" s="174" t="s">
        <v>631</v>
      </c>
      <c r="C212" s="174" t="s">
        <v>628</v>
      </c>
      <c r="D212" s="173" t="s">
        <v>13</v>
      </c>
      <c r="E212" s="173" t="s">
        <v>14</v>
      </c>
      <c r="F212" s="173" t="s">
        <v>13</v>
      </c>
      <c r="G212" s="173" t="s">
        <v>35</v>
      </c>
      <c r="H212" s="173" t="s">
        <v>14</v>
      </c>
      <c r="I212" s="173" t="s">
        <v>15</v>
      </c>
      <c r="J212" s="173" t="s">
        <v>624</v>
      </c>
      <c r="K212" s="173" t="s">
        <v>629</v>
      </c>
    </row>
    <row r="213" spans="1:11" s="121" customFormat="1" x14ac:dyDescent="0.25">
      <c r="A213" s="202" t="s">
        <v>572</v>
      </c>
      <c r="B213" s="174" t="s">
        <v>513</v>
      </c>
      <c r="C213" s="174" t="s">
        <v>571</v>
      </c>
      <c r="D213" s="173" t="s">
        <v>253</v>
      </c>
      <c r="E213" s="173" t="s">
        <v>14</v>
      </c>
      <c r="F213" s="173" t="s">
        <v>14</v>
      </c>
      <c r="G213" s="173" t="s">
        <v>14</v>
      </c>
      <c r="H213" s="173" t="s">
        <v>14</v>
      </c>
      <c r="I213" s="173" t="s">
        <v>15</v>
      </c>
      <c r="J213" s="173" t="s">
        <v>573</v>
      </c>
      <c r="K213" s="173" t="s">
        <v>574</v>
      </c>
    </row>
    <row r="214" spans="1:11" s="121" customFormat="1" x14ac:dyDescent="0.25">
      <c r="A214" s="202"/>
      <c r="B214" s="174" t="s">
        <v>513</v>
      </c>
      <c r="C214" s="174" t="s">
        <v>575</v>
      </c>
      <c r="D214" s="173" t="s">
        <v>253</v>
      </c>
      <c r="E214" s="173" t="s">
        <v>14</v>
      </c>
      <c r="F214" s="173" t="s">
        <v>14</v>
      </c>
      <c r="G214" s="173" t="s">
        <v>14</v>
      </c>
      <c r="H214" s="173" t="s">
        <v>14</v>
      </c>
      <c r="I214" s="173" t="s">
        <v>15</v>
      </c>
      <c r="J214" s="173" t="s">
        <v>576</v>
      </c>
      <c r="K214" s="173" t="s">
        <v>577</v>
      </c>
    </row>
    <row r="215" spans="1:11" s="50" customFormat="1" x14ac:dyDescent="0.25">
      <c r="A215" s="202" t="s">
        <v>129</v>
      </c>
      <c r="B215" s="174" t="s">
        <v>142</v>
      </c>
      <c r="C215" s="174" t="s">
        <v>128</v>
      </c>
      <c r="D215" s="173" t="s">
        <v>13</v>
      </c>
      <c r="E215" s="173" t="s">
        <v>14</v>
      </c>
      <c r="F215" s="173" t="s">
        <v>14</v>
      </c>
      <c r="G215" s="173" t="s">
        <v>13</v>
      </c>
      <c r="H215" s="173" t="s">
        <v>14</v>
      </c>
      <c r="I215" s="173" t="s">
        <v>15</v>
      </c>
      <c r="J215" s="173" t="s">
        <v>130</v>
      </c>
      <c r="K215" s="173"/>
    </row>
    <row r="216" spans="1:11" s="50" customFormat="1" x14ac:dyDescent="0.25">
      <c r="A216" s="202"/>
      <c r="B216" s="174" t="s">
        <v>142</v>
      </c>
      <c r="C216" s="174" t="s">
        <v>131</v>
      </c>
      <c r="D216" s="173" t="s">
        <v>13</v>
      </c>
      <c r="E216" s="173" t="s">
        <v>14</v>
      </c>
      <c r="F216" s="173" t="s">
        <v>14</v>
      </c>
      <c r="G216" s="173" t="s">
        <v>13</v>
      </c>
      <c r="H216" s="173" t="s">
        <v>14</v>
      </c>
      <c r="I216" s="173" t="s">
        <v>15</v>
      </c>
      <c r="J216" s="173" t="s">
        <v>132</v>
      </c>
      <c r="K216" s="173"/>
    </row>
    <row r="217" spans="1:11" s="50" customFormat="1" x14ac:dyDescent="0.25">
      <c r="A217" s="202"/>
      <c r="B217" s="174" t="s">
        <v>142</v>
      </c>
      <c r="C217" s="174" t="s">
        <v>138</v>
      </c>
      <c r="D217" s="173" t="s">
        <v>13</v>
      </c>
      <c r="E217" s="173" t="s">
        <v>14</v>
      </c>
      <c r="F217" s="173" t="s">
        <v>14</v>
      </c>
      <c r="G217" s="173" t="s">
        <v>13</v>
      </c>
      <c r="H217" s="173" t="s">
        <v>13</v>
      </c>
      <c r="I217" s="173" t="s">
        <v>15</v>
      </c>
      <c r="J217" s="173" t="s">
        <v>139</v>
      </c>
      <c r="K217" s="173"/>
    </row>
    <row r="218" spans="1:11" s="50" customFormat="1" x14ac:dyDescent="0.25">
      <c r="A218" s="202"/>
      <c r="B218" s="174" t="s">
        <v>442</v>
      </c>
      <c r="C218" s="174" t="s">
        <v>437</v>
      </c>
      <c r="D218" s="173"/>
      <c r="E218" s="173" t="s">
        <v>14</v>
      </c>
      <c r="F218" s="173" t="s">
        <v>14</v>
      </c>
      <c r="G218" s="173" t="s">
        <v>14</v>
      </c>
      <c r="H218" s="173" t="s">
        <v>14</v>
      </c>
      <c r="I218" s="173" t="s">
        <v>403</v>
      </c>
      <c r="J218" s="173"/>
      <c r="K218" s="173"/>
    </row>
    <row r="219" spans="1:11" s="59" customFormat="1" x14ac:dyDescent="0.25">
      <c r="A219" s="202" t="s">
        <v>12</v>
      </c>
      <c r="B219" s="174" t="s">
        <v>31</v>
      </c>
      <c r="C219" s="174" t="s">
        <v>11</v>
      </c>
      <c r="D219" s="173" t="s">
        <v>13</v>
      </c>
      <c r="E219" s="173" t="s">
        <v>14</v>
      </c>
      <c r="F219" s="173" t="s">
        <v>14</v>
      </c>
      <c r="G219" s="173" t="s">
        <v>14</v>
      </c>
      <c r="H219" s="173" t="s">
        <v>14</v>
      </c>
      <c r="I219" s="173" t="s">
        <v>15</v>
      </c>
      <c r="J219" s="173" t="s">
        <v>16</v>
      </c>
      <c r="K219" s="173" t="s">
        <v>17</v>
      </c>
    </row>
    <row r="220" spans="1:11" s="59" customFormat="1" x14ac:dyDescent="0.25">
      <c r="A220" s="202"/>
      <c r="B220" s="174" t="s">
        <v>31</v>
      </c>
      <c r="C220" s="174" t="s">
        <v>18</v>
      </c>
      <c r="D220" s="173" t="s">
        <v>13</v>
      </c>
      <c r="E220" s="173" t="s">
        <v>14</v>
      </c>
      <c r="F220" s="173" t="s">
        <v>14</v>
      </c>
      <c r="G220" s="173" t="s">
        <v>14</v>
      </c>
      <c r="H220" s="173" t="s">
        <v>14</v>
      </c>
      <c r="I220" s="173" t="s">
        <v>15</v>
      </c>
      <c r="J220" s="173" t="s">
        <v>16</v>
      </c>
      <c r="K220" s="173" t="s">
        <v>19</v>
      </c>
    </row>
    <row r="221" spans="1:11" s="59" customFormat="1" x14ac:dyDescent="0.25">
      <c r="A221" s="202"/>
      <c r="B221" s="174" t="s">
        <v>31</v>
      </c>
      <c r="C221" s="174" t="s">
        <v>20</v>
      </c>
      <c r="D221" s="173" t="s">
        <v>13</v>
      </c>
      <c r="E221" s="173" t="s">
        <v>14</v>
      </c>
      <c r="F221" s="173" t="s">
        <v>14</v>
      </c>
      <c r="G221" s="173" t="s">
        <v>14</v>
      </c>
      <c r="H221" s="173" t="s">
        <v>14</v>
      </c>
      <c r="I221" s="173" t="s">
        <v>15</v>
      </c>
      <c r="J221" s="173" t="s">
        <v>16</v>
      </c>
      <c r="K221" s="173" t="s">
        <v>21</v>
      </c>
    </row>
    <row r="222" spans="1:11" s="59" customFormat="1" x14ac:dyDescent="0.25">
      <c r="A222" s="202"/>
      <c r="B222" s="174" t="s">
        <v>31</v>
      </c>
      <c r="C222" s="174" t="s">
        <v>22</v>
      </c>
      <c r="D222" s="173" t="s">
        <v>13</v>
      </c>
      <c r="E222" s="173" t="s">
        <v>14</v>
      </c>
      <c r="F222" s="173" t="s">
        <v>14</v>
      </c>
      <c r="G222" s="173" t="s">
        <v>14</v>
      </c>
      <c r="H222" s="173" t="s">
        <v>14</v>
      </c>
      <c r="I222" s="173" t="s">
        <v>15</v>
      </c>
      <c r="J222" s="173" t="s">
        <v>16</v>
      </c>
      <c r="K222" s="173" t="s">
        <v>23</v>
      </c>
    </row>
    <row r="223" spans="1:11" s="59" customFormat="1" x14ac:dyDescent="0.25">
      <c r="A223" s="202"/>
      <c r="B223" s="174" t="s">
        <v>31</v>
      </c>
      <c r="C223" s="174" t="s">
        <v>24</v>
      </c>
      <c r="D223" s="173" t="s">
        <v>13</v>
      </c>
      <c r="E223" s="173" t="s">
        <v>14</v>
      </c>
      <c r="F223" s="173" t="s">
        <v>14</v>
      </c>
      <c r="G223" s="173" t="s">
        <v>14</v>
      </c>
      <c r="H223" s="173" t="s">
        <v>14</v>
      </c>
      <c r="I223" s="173" t="s">
        <v>15</v>
      </c>
      <c r="J223" s="173" t="s">
        <v>16</v>
      </c>
      <c r="K223" s="173" t="s">
        <v>25</v>
      </c>
    </row>
    <row r="224" spans="1:11" s="59" customFormat="1" x14ac:dyDescent="0.25">
      <c r="A224" s="202"/>
      <c r="B224" s="174" t="s">
        <v>31</v>
      </c>
      <c r="C224" s="174" t="s">
        <v>26</v>
      </c>
      <c r="D224" s="173" t="s">
        <v>13</v>
      </c>
      <c r="E224" s="173" t="s">
        <v>14</v>
      </c>
      <c r="F224" s="173" t="s">
        <v>14</v>
      </c>
      <c r="G224" s="173" t="s">
        <v>14</v>
      </c>
      <c r="H224" s="173" t="s">
        <v>14</v>
      </c>
      <c r="I224" s="173" t="s">
        <v>15</v>
      </c>
      <c r="J224" s="173" t="s">
        <v>27</v>
      </c>
      <c r="K224" s="173" t="s">
        <v>28</v>
      </c>
    </row>
    <row r="225" spans="1:11" s="59" customFormat="1" x14ac:dyDescent="0.25">
      <c r="A225" s="202"/>
      <c r="B225" s="174" t="s">
        <v>31</v>
      </c>
      <c r="C225" s="174" t="s">
        <v>29</v>
      </c>
      <c r="D225" s="173" t="s">
        <v>13</v>
      </c>
      <c r="E225" s="173" t="s">
        <v>14</v>
      </c>
      <c r="F225" s="173" t="s">
        <v>13</v>
      </c>
      <c r="G225" s="173" t="s">
        <v>13</v>
      </c>
      <c r="H225" s="173" t="s">
        <v>14</v>
      </c>
      <c r="I225" s="173" t="s">
        <v>15</v>
      </c>
      <c r="J225" s="173" t="s">
        <v>16</v>
      </c>
      <c r="K225" s="173" t="s">
        <v>30</v>
      </c>
    </row>
    <row r="226" spans="1:11" s="59" customFormat="1" x14ac:dyDescent="0.25">
      <c r="A226" s="202"/>
      <c r="B226" s="174" t="s">
        <v>69</v>
      </c>
      <c r="C226" s="174" t="s">
        <v>63</v>
      </c>
      <c r="D226" s="173" t="s">
        <v>13</v>
      </c>
      <c r="E226" s="173" t="s">
        <v>14</v>
      </c>
      <c r="F226" s="173" t="s">
        <v>14</v>
      </c>
      <c r="G226" s="173" t="s">
        <v>14</v>
      </c>
      <c r="H226" s="173" t="s">
        <v>14</v>
      </c>
      <c r="I226" s="173" t="s">
        <v>15</v>
      </c>
      <c r="J226" s="173" t="s">
        <v>64</v>
      </c>
      <c r="K226" s="173" t="s">
        <v>65</v>
      </c>
    </row>
    <row r="227" spans="1:11" s="59" customFormat="1" x14ac:dyDescent="0.25">
      <c r="A227" s="202"/>
      <c r="B227" s="174" t="s">
        <v>142</v>
      </c>
      <c r="C227" s="174" t="s">
        <v>136</v>
      </c>
      <c r="D227" s="173" t="s">
        <v>14</v>
      </c>
      <c r="E227" s="173" t="s">
        <v>14</v>
      </c>
      <c r="F227" s="173" t="s">
        <v>14</v>
      </c>
      <c r="G227" s="173" t="s">
        <v>14</v>
      </c>
      <c r="H227" s="173" t="s">
        <v>14</v>
      </c>
      <c r="I227" s="173" t="s">
        <v>15</v>
      </c>
      <c r="J227" s="173" t="s">
        <v>137</v>
      </c>
      <c r="K227" s="173"/>
    </row>
    <row r="228" spans="1:11" s="59" customFormat="1" x14ac:dyDescent="0.25">
      <c r="A228" s="202"/>
      <c r="B228" s="174" t="s">
        <v>142</v>
      </c>
      <c r="C228" s="174" t="s">
        <v>140</v>
      </c>
      <c r="D228" s="173" t="s">
        <v>13</v>
      </c>
      <c r="E228" s="173" t="s">
        <v>14</v>
      </c>
      <c r="F228" s="173" t="s">
        <v>14</v>
      </c>
      <c r="G228" s="173" t="s">
        <v>13</v>
      </c>
      <c r="H228" s="173" t="s">
        <v>14</v>
      </c>
      <c r="I228" s="173" t="s">
        <v>15</v>
      </c>
      <c r="J228" s="173" t="s">
        <v>140</v>
      </c>
      <c r="K228" s="173"/>
    </row>
    <row r="229" spans="1:11" s="59" customFormat="1" x14ac:dyDescent="0.25">
      <c r="A229" s="202"/>
      <c r="B229" s="174" t="s">
        <v>172</v>
      </c>
      <c r="C229" s="174" t="s">
        <v>143</v>
      </c>
      <c r="D229" s="173" t="s">
        <v>14</v>
      </c>
      <c r="E229" s="173" t="s">
        <v>14</v>
      </c>
      <c r="F229" s="173" t="s">
        <v>14</v>
      </c>
      <c r="G229" s="173" t="s">
        <v>14</v>
      </c>
      <c r="H229" s="173" t="s">
        <v>14</v>
      </c>
      <c r="I229" s="173" t="s">
        <v>15</v>
      </c>
      <c r="J229" s="173" t="s">
        <v>144</v>
      </c>
      <c r="K229" s="173" t="s">
        <v>145</v>
      </c>
    </row>
    <row r="230" spans="1:11" s="59" customFormat="1" x14ac:dyDescent="0.25">
      <c r="A230" s="202"/>
      <c r="B230" s="174" t="s">
        <v>172</v>
      </c>
      <c r="C230" s="174" t="s">
        <v>146</v>
      </c>
      <c r="D230" s="173" t="s">
        <v>13</v>
      </c>
      <c r="E230" s="173" t="s">
        <v>14</v>
      </c>
      <c r="F230" s="173" t="s">
        <v>14</v>
      </c>
      <c r="G230" s="173" t="s">
        <v>14</v>
      </c>
      <c r="H230" s="173" t="s">
        <v>14</v>
      </c>
      <c r="I230" s="173" t="s">
        <v>15</v>
      </c>
      <c r="J230" s="173" t="s">
        <v>147</v>
      </c>
      <c r="K230" s="173" t="s">
        <v>148</v>
      </c>
    </row>
    <row r="231" spans="1:11" s="59" customFormat="1" x14ac:dyDescent="0.25">
      <c r="A231" s="202"/>
      <c r="B231" s="174" t="s">
        <v>172</v>
      </c>
      <c r="C231" s="174" t="s">
        <v>166</v>
      </c>
      <c r="D231" s="173" t="s">
        <v>14</v>
      </c>
      <c r="E231" s="173" t="s">
        <v>14</v>
      </c>
      <c r="F231" s="173" t="s">
        <v>167</v>
      </c>
      <c r="G231" s="173" t="s">
        <v>13</v>
      </c>
      <c r="H231" s="173" t="s">
        <v>13</v>
      </c>
      <c r="I231" s="173" t="s">
        <v>15</v>
      </c>
      <c r="J231" s="173" t="s">
        <v>168</v>
      </c>
      <c r="K231" s="173" t="s">
        <v>169</v>
      </c>
    </row>
    <row r="232" spans="1:11" s="59" customFormat="1" x14ac:dyDescent="0.25">
      <c r="A232" s="202"/>
      <c r="B232" s="174" t="s">
        <v>267</v>
      </c>
      <c r="C232" s="174" t="s">
        <v>223</v>
      </c>
      <c r="D232" s="173" t="s">
        <v>14</v>
      </c>
      <c r="E232" s="173" t="s">
        <v>13</v>
      </c>
      <c r="F232" s="173" t="s">
        <v>14</v>
      </c>
      <c r="G232" s="173" t="s">
        <v>13</v>
      </c>
      <c r="H232" s="173" t="s">
        <v>14</v>
      </c>
      <c r="I232" s="173" t="s">
        <v>15</v>
      </c>
      <c r="J232" s="173" t="s">
        <v>199</v>
      </c>
      <c r="K232" s="173"/>
    </row>
    <row r="233" spans="1:11" s="59" customFormat="1" x14ac:dyDescent="0.25">
      <c r="A233" s="202"/>
      <c r="B233" s="174" t="s">
        <v>442</v>
      </c>
      <c r="C233" s="174" t="s">
        <v>433</v>
      </c>
      <c r="D233" s="173"/>
      <c r="E233" s="173" t="s">
        <v>14</v>
      </c>
      <c r="F233" s="173" t="s">
        <v>14</v>
      </c>
      <c r="G233" s="173" t="s">
        <v>14</v>
      </c>
      <c r="H233" s="173" t="s">
        <v>14</v>
      </c>
      <c r="I233" s="173" t="s">
        <v>403</v>
      </c>
      <c r="J233" s="173"/>
      <c r="K233" s="173"/>
    </row>
    <row r="234" spans="1:11" s="59" customFormat="1" x14ac:dyDescent="0.25">
      <c r="A234" s="202"/>
      <c r="B234" s="174" t="s">
        <v>447</v>
      </c>
      <c r="C234" s="174" t="s">
        <v>444</v>
      </c>
      <c r="D234" s="173" t="s">
        <v>14</v>
      </c>
      <c r="E234" s="173" t="s">
        <v>14</v>
      </c>
      <c r="F234" s="173" t="s">
        <v>14</v>
      </c>
      <c r="G234" s="173" t="s">
        <v>14</v>
      </c>
      <c r="H234" s="173" t="s">
        <v>13</v>
      </c>
      <c r="I234" s="173" t="s">
        <v>40</v>
      </c>
      <c r="J234" s="173" t="s">
        <v>445</v>
      </c>
      <c r="K234" s="173" t="s">
        <v>446</v>
      </c>
    </row>
    <row r="235" spans="1:11" s="59" customFormat="1" x14ac:dyDescent="0.25">
      <c r="A235" s="202"/>
      <c r="B235" s="174" t="s">
        <v>448</v>
      </c>
      <c r="C235" s="174" t="s">
        <v>449</v>
      </c>
      <c r="D235" s="173" t="s">
        <v>14</v>
      </c>
      <c r="E235" s="173" t="s">
        <v>13</v>
      </c>
      <c r="F235" s="173" t="s">
        <v>14</v>
      </c>
      <c r="G235" s="173" t="s">
        <v>13</v>
      </c>
      <c r="H235" s="173" t="s">
        <v>14</v>
      </c>
      <c r="I235" s="173" t="s">
        <v>15</v>
      </c>
      <c r="J235" s="173" t="s">
        <v>450</v>
      </c>
      <c r="K235" s="173" t="s">
        <v>451</v>
      </c>
    </row>
    <row r="236" spans="1:11" s="108" customFormat="1" x14ac:dyDescent="0.25">
      <c r="A236" s="202" t="s">
        <v>466</v>
      </c>
      <c r="B236" s="174" t="s">
        <v>464</v>
      </c>
      <c r="C236" s="174" t="s">
        <v>465</v>
      </c>
      <c r="D236" s="173" t="s">
        <v>14</v>
      </c>
      <c r="E236" s="173" t="s">
        <v>13</v>
      </c>
      <c r="F236" s="173" t="s">
        <v>14</v>
      </c>
      <c r="G236" s="173" t="s">
        <v>14</v>
      </c>
      <c r="H236" s="173" t="s">
        <v>14</v>
      </c>
      <c r="I236" s="173" t="s">
        <v>15</v>
      </c>
      <c r="J236" s="173" t="s">
        <v>467</v>
      </c>
      <c r="K236" s="173" t="s">
        <v>468</v>
      </c>
    </row>
    <row r="237" spans="1:11" s="108" customFormat="1" x14ac:dyDescent="0.25">
      <c r="A237" s="202"/>
      <c r="B237" s="174" t="s">
        <v>512</v>
      </c>
      <c r="C237" s="174" t="s">
        <v>504</v>
      </c>
      <c r="D237" s="173" t="s">
        <v>253</v>
      </c>
      <c r="E237" s="173" t="s">
        <v>14</v>
      </c>
      <c r="F237" s="173" t="s">
        <v>14</v>
      </c>
      <c r="G237" s="173" t="s">
        <v>13</v>
      </c>
      <c r="H237" s="173" t="s">
        <v>14</v>
      </c>
      <c r="I237" s="173" t="s">
        <v>256</v>
      </c>
      <c r="J237" s="173"/>
      <c r="K237" s="173" t="s">
        <v>505</v>
      </c>
    </row>
    <row r="238" spans="1:11" s="108" customFormat="1" ht="16.149999999999999" customHeight="1" x14ac:dyDescent="0.25">
      <c r="A238" s="202"/>
      <c r="B238" s="174" t="s">
        <v>668</v>
      </c>
      <c r="C238" s="174" t="s">
        <v>665</v>
      </c>
      <c r="D238" s="173" t="s">
        <v>13</v>
      </c>
      <c r="E238" s="173" t="s">
        <v>14</v>
      </c>
      <c r="F238" s="173" t="s">
        <v>14</v>
      </c>
      <c r="G238" s="173" t="s">
        <v>14</v>
      </c>
      <c r="H238" s="173" t="s">
        <v>13</v>
      </c>
      <c r="I238" s="173" t="s">
        <v>15</v>
      </c>
      <c r="J238" s="173" t="s">
        <v>666</v>
      </c>
      <c r="K238" s="176" t="s">
        <v>667</v>
      </c>
    </row>
    <row r="239" spans="1:11" s="111" customFormat="1" x14ac:dyDescent="0.25">
      <c r="A239" s="202" t="s">
        <v>269</v>
      </c>
      <c r="B239" s="174" t="s">
        <v>278</v>
      </c>
      <c r="C239" s="174" t="s">
        <v>268</v>
      </c>
      <c r="D239" s="173" t="s">
        <v>14</v>
      </c>
      <c r="E239" s="173" t="s">
        <v>14</v>
      </c>
      <c r="F239" s="173" t="s">
        <v>14</v>
      </c>
      <c r="G239" s="173" t="s">
        <v>14</v>
      </c>
      <c r="H239" s="173" t="s">
        <v>14</v>
      </c>
      <c r="I239" s="173" t="s">
        <v>15</v>
      </c>
      <c r="J239" s="173" t="s">
        <v>270</v>
      </c>
      <c r="K239" s="173"/>
    </row>
    <row r="240" spans="1:11" s="111" customFormat="1" x14ac:dyDescent="0.25">
      <c r="A240" s="202"/>
      <c r="B240" s="174" t="s">
        <v>278</v>
      </c>
      <c r="C240" s="174" t="s">
        <v>271</v>
      </c>
      <c r="D240" s="173" t="s">
        <v>14</v>
      </c>
      <c r="E240" s="173" t="s">
        <v>14</v>
      </c>
      <c r="F240" s="173" t="s">
        <v>14</v>
      </c>
      <c r="G240" s="173" t="s">
        <v>14</v>
      </c>
      <c r="H240" s="173" t="s">
        <v>14</v>
      </c>
      <c r="I240" s="173" t="s">
        <v>15</v>
      </c>
      <c r="J240" s="173" t="s">
        <v>272</v>
      </c>
      <c r="K240" s="173"/>
    </row>
    <row r="241" spans="1:11" s="111" customFormat="1" x14ac:dyDescent="0.25">
      <c r="A241" s="202"/>
      <c r="B241" s="174" t="s">
        <v>278</v>
      </c>
      <c r="C241" s="174" t="s">
        <v>273</v>
      </c>
      <c r="D241" s="173" t="s">
        <v>14</v>
      </c>
      <c r="E241" s="173" t="s">
        <v>14</v>
      </c>
      <c r="F241" s="173" t="s">
        <v>14</v>
      </c>
      <c r="G241" s="173" t="s">
        <v>14</v>
      </c>
      <c r="H241" s="173" t="s">
        <v>14</v>
      </c>
      <c r="I241" s="173" t="s">
        <v>15</v>
      </c>
      <c r="J241" s="173" t="s">
        <v>272</v>
      </c>
      <c r="K241" s="173"/>
    </row>
    <row r="242" spans="1:11" s="111" customFormat="1" x14ac:dyDescent="0.25">
      <c r="A242" s="202"/>
      <c r="B242" s="174" t="s">
        <v>278</v>
      </c>
      <c r="C242" s="174" t="s">
        <v>274</v>
      </c>
      <c r="D242" s="173" t="s">
        <v>14</v>
      </c>
      <c r="E242" s="173" t="s">
        <v>14</v>
      </c>
      <c r="F242" s="173" t="s">
        <v>14</v>
      </c>
      <c r="G242" s="173" t="s">
        <v>14</v>
      </c>
      <c r="H242" s="173" t="s">
        <v>14</v>
      </c>
      <c r="I242" s="173" t="s">
        <v>15</v>
      </c>
      <c r="J242" s="173" t="s">
        <v>275</v>
      </c>
      <c r="K242" s="173"/>
    </row>
    <row r="243" spans="1:11" s="111" customFormat="1" x14ac:dyDescent="0.25">
      <c r="A243" s="202"/>
      <c r="B243" s="174" t="s">
        <v>357</v>
      </c>
      <c r="C243" s="174" t="s">
        <v>369</v>
      </c>
      <c r="D243" s="173" t="s">
        <v>14</v>
      </c>
      <c r="E243" s="173" t="s">
        <v>14</v>
      </c>
      <c r="F243" s="173" t="s">
        <v>14</v>
      </c>
      <c r="G243" s="173" t="s">
        <v>14</v>
      </c>
      <c r="H243" s="173" t="s">
        <v>14</v>
      </c>
      <c r="I243" s="173" t="s">
        <v>15</v>
      </c>
      <c r="J243" s="173" t="s">
        <v>644</v>
      </c>
      <c r="K243" s="173" t="s">
        <v>370</v>
      </c>
    </row>
    <row r="244" spans="1:11" s="111" customFormat="1" x14ac:dyDescent="0.25">
      <c r="A244" s="202"/>
      <c r="B244" s="174" t="s">
        <v>398</v>
      </c>
      <c r="C244" s="174" t="s">
        <v>394</v>
      </c>
      <c r="D244" s="173"/>
      <c r="E244" s="173" t="s">
        <v>253</v>
      </c>
      <c r="F244" s="173" t="s">
        <v>253</v>
      </c>
      <c r="G244" s="173" t="s">
        <v>14</v>
      </c>
      <c r="H244" s="173" t="s">
        <v>14</v>
      </c>
      <c r="I244" s="173" t="s">
        <v>256</v>
      </c>
      <c r="J244" s="173"/>
      <c r="K244" s="173" t="s">
        <v>652</v>
      </c>
    </row>
    <row r="245" spans="1:11" s="111" customFormat="1" x14ac:dyDescent="0.25">
      <c r="A245" s="202"/>
      <c r="B245" s="174" t="s">
        <v>398</v>
      </c>
      <c r="C245" s="174" t="s">
        <v>395</v>
      </c>
      <c r="D245" s="173"/>
      <c r="E245" s="173" t="s">
        <v>253</v>
      </c>
      <c r="F245" s="173" t="s">
        <v>253</v>
      </c>
      <c r="G245" s="173" t="s">
        <v>14</v>
      </c>
      <c r="H245" s="173" t="s">
        <v>14</v>
      </c>
      <c r="I245" s="173" t="s">
        <v>396</v>
      </c>
      <c r="J245" s="173"/>
      <c r="K245" s="173" t="s">
        <v>397</v>
      </c>
    </row>
    <row r="246" spans="1:11" s="111" customFormat="1" x14ac:dyDescent="0.25">
      <c r="A246" s="202"/>
      <c r="B246" s="174" t="s">
        <v>399</v>
      </c>
      <c r="C246" s="174" t="s">
        <v>400</v>
      </c>
      <c r="D246" s="173" t="s">
        <v>14</v>
      </c>
      <c r="E246" s="173" t="s">
        <v>14</v>
      </c>
      <c r="F246" s="173" t="s">
        <v>14</v>
      </c>
      <c r="G246" s="173" t="s">
        <v>14</v>
      </c>
      <c r="H246" s="173" t="s">
        <v>13</v>
      </c>
      <c r="I246" s="173" t="s">
        <v>15</v>
      </c>
      <c r="J246" s="173"/>
      <c r="K246" s="173"/>
    </row>
    <row r="247" spans="1:11" s="111" customFormat="1" x14ac:dyDescent="0.25">
      <c r="A247" s="202"/>
      <c r="B247" s="174" t="s">
        <v>399</v>
      </c>
      <c r="C247" s="174" t="s">
        <v>405</v>
      </c>
      <c r="D247" s="173" t="s">
        <v>14</v>
      </c>
      <c r="E247" s="173" t="s">
        <v>14</v>
      </c>
      <c r="F247" s="173" t="s">
        <v>14</v>
      </c>
      <c r="G247" s="173" t="s">
        <v>14</v>
      </c>
      <c r="H247" s="173" t="s">
        <v>13</v>
      </c>
      <c r="I247" s="173" t="s">
        <v>403</v>
      </c>
      <c r="J247" s="173"/>
      <c r="K247" s="173"/>
    </row>
    <row r="248" spans="1:11" s="111" customFormat="1" x14ac:dyDescent="0.25">
      <c r="A248" s="202"/>
      <c r="B248" s="174" t="s">
        <v>442</v>
      </c>
      <c r="C248" s="174" t="s">
        <v>653</v>
      </c>
      <c r="D248" s="173"/>
      <c r="E248" s="173" t="s">
        <v>14</v>
      </c>
      <c r="F248" s="173" t="s">
        <v>14</v>
      </c>
      <c r="G248" s="173" t="s">
        <v>14</v>
      </c>
      <c r="H248" s="173" t="s">
        <v>14</v>
      </c>
      <c r="I248" s="173" t="s">
        <v>256</v>
      </c>
      <c r="J248" s="173"/>
      <c r="K248" s="173"/>
    </row>
    <row r="249" spans="1:11" s="111" customFormat="1" x14ac:dyDescent="0.25">
      <c r="A249" s="202"/>
      <c r="B249" s="174" t="s">
        <v>513</v>
      </c>
      <c r="C249" s="174" t="s">
        <v>529</v>
      </c>
      <c r="D249" s="173" t="s">
        <v>253</v>
      </c>
      <c r="E249" s="173" t="s">
        <v>14</v>
      </c>
      <c r="F249" s="173" t="s">
        <v>14</v>
      </c>
      <c r="G249" s="173" t="s">
        <v>14</v>
      </c>
      <c r="H249" s="173" t="s">
        <v>14</v>
      </c>
      <c r="I249" s="173" t="s">
        <v>15</v>
      </c>
      <c r="J249" s="173"/>
      <c r="K249" s="173" t="s">
        <v>530</v>
      </c>
    </row>
    <row r="250" spans="1:11" s="113" customFormat="1" x14ac:dyDescent="0.25">
      <c r="A250" s="202" t="s">
        <v>164</v>
      </c>
      <c r="B250" s="174" t="s">
        <v>172</v>
      </c>
      <c r="C250" s="174" t="s">
        <v>163</v>
      </c>
      <c r="D250" s="173" t="s">
        <v>13</v>
      </c>
      <c r="E250" s="173" t="s">
        <v>14</v>
      </c>
      <c r="F250" s="173" t="s">
        <v>14</v>
      </c>
      <c r="G250" s="173" t="s">
        <v>14</v>
      </c>
      <c r="H250" s="173" t="s">
        <v>14</v>
      </c>
      <c r="I250" s="173" t="s">
        <v>15</v>
      </c>
      <c r="J250" s="173" t="s">
        <v>165</v>
      </c>
      <c r="K250" s="173"/>
    </row>
    <row r="251" spans="1:11" s="113" customFormat="1" x14ac:dyDescent="0.25">
      <c r="A251" s="202"/>
      <c r="B251" s="174" t="s">
        <v>355</v>
      </c>
      <c r="C251" s="175" t="s">
        <v>330</v>
      </c>
      <c r="D251" s="173" t="s">
        <v>306</v>
      </c>
      <c r="E251" s="173" t="s">
        <v>43</v>
      </c>
      <c r="F251" s="173" t="s">
        <v>43</v>
      </c>
      <c r="G251" s="173" t="s">
        <v>43</v>
      </c>
      <c r="H251" s="173" t="s">
        <v>306</v>
      </c>
      <c r="I251" s="173" t="s">
        <v>15</v>
      </c>
      <c r="J251" s="173" t="s">
        <v>638</v>
      </c>
      <c r="K251" s="173" t="s">
        <v>331</v>
      </c>
    </row>
    <row r="252" spans="1:11" s="113" customFormat="1" x14ac:dyDescent="0.25">
      <c r="A252" s="202"/>
      <c r="B252" s="174" t="s">
        <v>355</v>
      </c>
      <c r="C252" s="175" t="s">
        <v>332</v>
      </c>
      <c r="D252" s="173" t="s">
        <v>306</v>
      </c>
      <c r="E252" s="173" t="s">
        <v>43</v>
      </c>
      <c r="F252" s="173" t="s">
        <v>43</v>
      </c>
      <c r="G252" s="173" t="s">
        <v>43</v>
      </c>
      <c r="H252" s="173" t="s">
        <v>306</v>
      </c>
      <c r="I252" s="173" t="s">
        <v>15</v>
      </c>
      <c r="J252" s="173" t="s">
        <v>638</v>
      </c>
      <c r="K252" s="173" t="s">
        <v>333</v>
      </c>
    </row>
    <row r="253" spans="1:11" s="113" customFormat="1" x14ac:dyDescent="0.25">
      <c r="A253" s="202"/>
      <c r="B253" s="174" t="s">
        <v>664</v>
      </c>
      <c r="C253" s="174" t="s">
        <v>659</v>
      </c>
      <c r="D253" s="173" t="s">
        <v>306</v>
      </c>
      <c r="E253" s="173" t="s">
        <v>43</v>
      </c>
      <c r="F253" s="173" t="s">
        <v>43</v>
      </c>
      <c r="G253" s="173" t="s">
        <v>43</v>
      </c>
      <c r="H253" s="173" t="s">
        <v>43</v>
      </c>
      <c r="I253" s="173" t="s">
        <v>660</v>
      </c>
      <c r="J253" s="173" t="s">
        <v>661</v>
      </c>
      <c r="K253" s="173"/>
    </row>
    <row r="254" spans="1:11" s="117" customFormat="1" x14ac:dyDescent="0.25">
      <c r="A254" s="202" t="s">
        <v>372</v>
      </c>
      <c r="B254" s="174" t="s">
        <v>58</v>
      </c>
      <c r="C254" s="174" t="s">
        <v>45</v>
      </c>
      <c r="D254" s="173" t="s">
        <v>43</v>
      </c>
      <c r="E254" s="173" t="s">
        <v>14</v>
      </c>
      <c r="F254" s="173" t="s">
        <v>43</v>
      </c>
      <c r="G254" s="173" t="s">
        <v>43</v>
      </c>
      <c r="H254" s="173" t="s">
        <v>43</v>
      </c>
      <c r="I254" s="173" t="s">
        <v>40</v>
      </c>
      <c r="J254" s="173" t="s">
        <v>46</v>
      </c>
      <c r="K254" s="173" t="s">
        <v>654</v>
      </c>
    </row>
    <row r="255" spans="1:11" s="117" customFormat="1" x14ac:dyDescent="0.25">
      <c r="A255" s="202"/>
      <c r="B255" s="174" t="s">
        <v>281</v>
      </c>
      <c r="C255" s="174" t="s">
        <v>287</v>
      </c>
      <c r="D255" s="173" t="s">
        <v>35</v>
      </c>
      <c r="E255" s="173" t="s">
        <v>14</v>
      </c>
      <c r="F255" s="173" t="s">
        <v>14</v>
      </c>
      <c r="G255" s="173" t="s">
        <v>14</v>
      </c>
      <c r="H255" s="173" t="s">
        <v>14</v>
      </c>
      <c r="I255" s="173" t="s">
        <v>15</v>
      </c>
      <c r="J255" s="173" t="s">
        <v>288</v>
      </c>
      <c r="K255" s="173"/>
    </row>
    <row r="256" spans="1:11" s="117" customFormat="1" x14ac:dyDescent="0.25">
      <c r="A256" s="202"/>
      <c r="B256" s="174" t="s">
        <v>281</v>
      </c>
      <c r="C256" s="174" t="s">
        <v>289</v>
      </c>
      <c r="D256" s="173" t="s">
        <v>35</v>
      </c>
      <c r="E256" s="173" t="s">
        <v>14</v>
      </c>
      <c r="F256" s="173" t="s">
        <v>14</v>
      </c>
      <c r="G256" s="173" t="s">
        <v>14</v>
      </c>
      <c r="H256" s="173" t="s">
        <v>14</v>
      </c>
      <c r="I256" s="173" t="s">
        <v>15</v>
      </c>
      <c r="J256" s="173" t="s">
        <v>288</v>
      </c>
      <c r="K256" s="173"/>
    </row>
    <row r="257" spans="1:11" s="117" customFormat="1" x14ac:dyDescent="0.25">
      <c r="A257" s="202"/>
      <c r="B257" s="174" t="s">
        <v>281</v>
      </c>
      <c r="C257" s="174" t="s">
        <v>290</v>
      </c>
      <c r="D257" s="173" t="s">
        <v>35</v>
      </c>
      <c r="E257" s="173" t="s">
        <v>14</v>
      </c>
      <c r="F257" s="173" t="s">
        <v>14</v>
      </c>
      <c r="G257" s="173" t="s">
        <v>14</v>
      </c>
      <c r="H257" s="173" t="s">
        <v>14</v>
      </c>
      <c r="I257" s="173" t="s">
        <v>15</v>
      </c>
      <c r="J257" s="173" t="s">
        <v>288</v>
      </c>
      <c r="K257" s="173"/>
    </row>
    <row r="258" spans="1:11" s="117" customFormat="1" x14ac:dyDescent="0.25">
      <c r="A258" s="202"/>
      <c r="B258" s="174" t="s">
        <v>281</v>
      </c>
      <c r="C258" s="174" t="s">
        <v>291</v>
      </c>
      <c r="D258" s="173" t="s">
        <v>35</v>
      </c>
      <c r="E258" s="173" t="s">
        <v>14</v>
      </c>
      <c r="F258" s="173" t="s">
        <v>14</v>
      </c>
      <c r="G258" s="173" t="s">
        <v>14</v>
      </c>
      <c r="H258" s="173" t="s">
        <v>14</v>
      </c>
      <c r="I258" s="173" t="s">
        <v>15</v>
      </c>
      <c r="J258" s="173" t="s">
        <v>288</v>
      </c>
      <c r="K258" s="173"/>
    </row>
    <row r="259" spans="1:11" s="117" customFormat="1" x14ac:dyDescent="0.25">
      <c r="A259" s="202"/>
      <c r="B259" s="174" t="s">
        <v>357</v>
      </c>
      <c r="C259" s="174" t="s">
        <v>371</v>
      </c>
      <c r="D259" s="173" t="s">
        <v>14</v>
      </c>
      <c r="E259" s="173" t="s">
        <v>14</v>
      </c>
      <c r="F259" s="173" t="s">
        <v>14</v>
      </c>
      <c r="G259" s="173" t="s">
        <v>14</v>
      </c>
      <c r="H259" s="173" t="s">
        <v>14</v>
      </c>
      <c r="I259" s="173" t="s">
        <v>15</v>
      </c>
      <c r="J259" s="173" t="s">
        <v>373</v>
      </c>
      <c r="K259" s="173" t="s">
        <v>374</v>
      </c>
    </row>
    <row r="260" spans="1:11" s="117" customFormat="1" x14ac:dyDescent="0.25">
      <c r="A260" s="202"/>
      <c r="B260" s="174" t="s">
        <v>357</v>
      </c>
      <c r="C260" s="174" t="s">
        <v>375</v>
      </c>
      <c r="D260" s="173" t="s">
        <v>14</v>
      </c>
      <c r="E260" s="173" t="s">
        <v>14</v>
      </c>
      <c r="F260" s="173" t="s">
        <v>14</v>
      </c>
      <c r="G260" s="173" t="s">
        <v>14</v>
      </c>
      <c r="H260" s="173" t="s">
        <v>14</v>
      </c>
      <c r="I260" s="173" t="s">
        <v>15</v>
      </c>
      <c r="J260" s="173" t="s">
        <v>645</v>
      </c>
      <c r="K260" s="173" t="s">
        <v>376</v>
      </c>
    </row>
    <row r="261" spans="1:11" s="117" customFormat="1" x14ac:dyDescent="0.25">
      <c r="A261" s="202"/>
      <c r="B261" s="174" t="s">
        <v>357</v>
      </c>
      <c r="C261" s="174" t="s">
        <v>377</v>
      </c>
      <c r="D261" s="173" t="s">
        <v>14</v>
      </c>
      <c r="E261" s="173" t="s">
        <v>14</v>
      </c>
      <c r="F261" s="173" t="s">
        <v>14</v>
      </c>
      <c r="G261" s="173" t="s">
        <v>14</v>
      </c>
      <c r="H261" s="173" t="s">
        <v>14</v>
      </c>
      <c r="I261" s="173" t="s">
        <v>15</v>
      </c>
      <c r="J261" s="173" t="s">
        <v>646</v>
      </c>
      <c r="K261" s="173" t="s">
        <v>378</v>
      </c>
    </row>
    <row r="262" spans="1:11" s="117" customFormat="1" x14ac:dyDescent="0.25">
      <c r="A262" s="202"/>
      <c r="B262" s="174" t="s">
        <v>357</v>
      </c>
      <c r="C262" s="174" t="s">
        <v>379</v>
      </c>
      <c r="D262" s="173" t="s">
        <v>14</v>
      </c>
      <c r="E262" s="173" t="s">
        <v>14</v>
      </c>
      <c r="F262" s="173" t="s">
        <v>14</v>
      </c>
      <c r="G262" s="173" t="s">
        <v>14</v>
      </c>
      <c r="H262" s="173" t="s">
        <v>14</v>
      </c>
      <c r="I262" s="173" t="s">
        <v>15</v>
      </c>
      <c r="J262" s="173" t="s">
        <v>647</v>
      </c>
      <c r="K262" s="173" t="s">
        <v>378</v>
      </c>
    </row>
    <row r="263" spans="1:11" s="117" customFormat="1" x14ac:dyDescent="0.25">
      <c r="A263" s="202"/>
      <c r="B263" s="174" t="s">
        <v>357</v>
      </c>
      <c r="C263" s="174" t="s">
        <v>380</v>
      </c>
      <c r="D263" s="173" t="s">
        <v>14</v>
      </c>
      <c r="E263" s="173" t="s">
        <v>14</v>
      </c>
      <c r="F263" s="173" t="s">
        <v>14</v>
      </c>
      <c r="G263" s="173" t="s">
        <v>14</v>
      </c>
      <c r="H263" s="173" t="s">
        <v>14</v>
      </c>
      <c r="I263" s="173" t="s">
        <v>15</v>
      </c>
      <c r="J263" s="173" t="s">
        <v>648</v>
      </c>
      <c r="K263" s="173" t="s">
        <v>381</v>
      </c>
    </row>
    <row r="264" spans="1:11" s="117" customFormat="1" x14ac:dyDescent="0.25">
      <c r="A264" s="202"/>
      <c r="B264" s="174" t="s">
        <v>357</v>
      </c>
      <c r="C264" s="174" t="s">
        <v>382</v>
      </c>
      <c r="D264" s="173" t="s">
        <v>14</v>
      </c>
      <c r="E264" s="173" t="s">
        <v>14</v>
      </c>
      <c r="F264" s="173" t="s">
        <v>14</v>
      </c>
      <c r="G264" s="173" t="s">
        <v>14</v>
      </c>
      <c r="H264" s="173" t="s">
        <v>14</v>
      </c>
      <c r="I264" s="173" t="s">
        <v>15</v>
      </c>
      <c r="J264" s="173" t="s">
        <v>649</v>
      </c>
      <c r="K264" s="173" t="s">
        <v>383</v>
      </c>
    </row>
    <row r="265" spans="1:11" s="117" customFormat="1" x14ac:dyDescent="0.25">
      <c r="A265" s="202"/>
      <c r="B265" s="174" t="s">
        <v>357</v>
      </c>
      <c r="C265" s="174" t="s">
        <v>384</v>
      </c>
      <c r="D265" s="173" t="s">
        <v>14</v>
      </c>
      <c r="E265" s="173" t="s">
        <v>14</v>
      </c>
      <c r="F265" s="173" t="s">
        <v>14</v>
      </c>
      <c r="G265" s="173" t="s">
        <v>14</v>
      </c>
      <c r="H265" s="173" t="s">
        <v>14</v>
      </c>
      <c r="I265" s="173" t="s">
        <v>15</v>
      </c>
      <c r="J265" s="173" t="s">
        <v>650</v>
      </c>
      <c r="K265" s="173" t="s">
        <v>385</v>
      </c>
    </row>
    <row r="266" spans="1:11" s="117" customFormat="1" x14ac:dyDescent="0.25">
      <c r="A266" s="202"/>
      <c r="B266" s="174" t="s">
        <v>469</v>
      </c>
      <c r="C266" s="174" t="s">
        <v>492</v>
      </c>
      <c r="D266" s="173" t="s">
        <v>13</v>
      </c>
      <c r="E266" s="173" t="s">
        <v>14</v>
      </c>
      <c r="F266" s="173" t="s">
        <v>14</v>
      </c>
      <c r="G266" s="173" t="s">
        <v>14</v>
      </c>
      <c r="H266" s="173" t="s">
        <v>14</v>
      </c>
      <c r="I266" s="173" t="s">
        <v>15</v>
      </c>
      <c r="J266" s="173" t="s">
        <v>493</v>
      </c>
      <c r="K266" s="173" t="s">
        <v>494</v>
      </c>
    </row>
    <row r="267" spans="1:11" s="60" customFormat="1" x14ac:dyDescent="0.25">
      <c r="A267" s="202" t="s">
        <v>386</v>
      </c>
      <c r="B267" s="174" t="s">
        <v>281</v>
      </c>
      <c r="C267" s="174" t="s">
        <v>285</v>
      </c>
      <c r="D267" s="173" t="s">
        <v>35</v>
      </c>
      <c r="E267" s="173" t="s">
        <v>14</v>
      </c>
      <c r="F267" s="173" t="s">
        <v>14</v>
      </c>
      <c r="G267" s="173" t="s">
        <v>14</v>
      </c>
      <c r="H267" s="173" t="s">
        <v>14</v>
      </c>
      <c r="I267" s="173" t="s">
        <v>15</v>
      </c>
      <c r="J267" s="173" t="s">
        <v>286</v>
      </c>
      <c r="K267" s="173" t="s">
        <v>284</v>
      </c>
    </row>
    <row r="268" spans="1:11" s="120" customFormat="1" ht="15" customHeight="1" x14ac:dyDescent="0.25">
      <c r="A268" s="202"/>
      <c r="B268" s="174" t="s">
        <v>357</v>
      </c>
      <c r="C268" s="174" t="s">
        <v>384</v>
      </c>
      <c r="D268" s="173" t="s">
        <v>14</v>
      </c>
      <c r="E268" s="173" t="s">
        <v>14</v>
      </c>
      <c r="F268" s="173" t="s">
        <v>14</v>
      </c>
      <c r="G268" s="173" t="s">
        <v>14</v>
      </c>
      <c r="H268" s="173" t="s">
        <v>14</v>
      </c>
      <c r="I268" s="173" t="s">
        <v>15</v>
      </c>
      <c r="J268" s="173" t="s">
        <v>651</v>
      </c>
      <c r="K268" s="173" t="s">
        <v>387</v>
      </c>
    </row>
  </sheetData>
  <mergeCells count="31">
    <mergeCell ref="A106:A115"/>
    <mergeCell ref="A4:A5"/>
    <mergeCell ref="A6:A10"/>
    <mergeCell ref="A11:A17"/>
    <mergeCell ref="A18:A24"/>
    <mergeCell ref="A25:A26"/>
    <mergeCell ref="A27:A31"/>
    <mergeCell ref="A32:A62"/>
    <mergeCell ref="A63:A72"/>
    <mergeCell ref="A73:A85"/>
    <mergeCell ref="A86:A102"/>
    <mergeCell ref="A103:A105"/>
    <mergeCell ref="A213:A214"/>
    <mergeCell ref="A116:A134"/>
    <mergeCell ref="A135:A147"/>
    <mergeCell ref="A148:A150"/>
    <mergeCell ref="A151:A152"/>
    <mergeCell ref="A153:A157"/>
    <mergeCell ref="A158:A160"/>
    <mergeCell ref="A161:A163"/>
    <mergeCell ref="A164:A169"/>
    <mergeCell ref="A170:A194"/>
    <mergeCell ref="A195:A207"/>
    <mergeCell ref="A208:A212"/>
    <mergeCell ref="A267:A268"/>
    <mergeCell ref="A215:A218"/>
    <mergeCell ref="A219:A235"/>
    <mergeCell ref="A236:A238"/>
    <mergeCell ref="A239:A249"/>
    <mergeCell ref="A250:A253"/>
    <mergeCell ref="A254:A266"/>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68"/>
  <sheetViews>
    <sheetView workbookViewId="0">
      <selection activeCell="A34" sqref="A34"/>
    </sheetView>
  </sheetViews>
  <sheetFormatPr defaultRowHeight="15" x14ac:dyDescent="0.25"/>
  <cols>
    <col min="1" max="1" width="27.7109375" customWidth="1"/>
    <col min="2" max="2" width="29.140625" customWidth="1"/>
    <col min="3" max="3" width="29" customWidth="1"/>
    <col min="4" max="8" width="5" style="9" customWidth="1"/>
    <col min="9" max="9" width="15.7109375" style="9" customWidth="1"/>
    <col min="10" max="11" width="30.42578125" style="9" customWidth="1"/>
  </cols>
  <sheetData>
    <row r="1" spans="1:11" ht="180" x14ac:dyDescent="0.25">
      <c r="A1" s="1" t="s">
        <v>1</v>
      </c>
      <c r="B1" s="1" t="s">
        <v>10</v>
      </c>
      <c r="C1" s="1" t="s">
        <v>0</v>
      </c>
      <c r="D1" s="7" t="s">
        <v>2</v>
      </c>
      <c r="E1" s="7" t="s">
        <v>3</v>
      </c>
      <c r="F1" s="7" t="s">
        <v>4</v>
      </c>
      <c r="G1" s="7" t="s">
        <v>5</v>
      </c>
      <c r="H1" s="7" t="s">
        <v>6</v>
      </c>
      <c r="I1" s="7" t="s">
        <v>7</v>
      </c>
      <c r="J1" s="10" t="s">
        <v>8</v>
      </c>
      <c r="K1" s="10" t="s">
        <v>9</v>
      </c>
    </row>
    <row r="2" spans="1:11" s="5" customFormat="1" x14ac:dyDescent="0.25">
      <c r="A2" s="5" t="s">
        <v>35</v>
      </c>
      <c r="B2" s="5" t="s">
        <v>267</v>
      </c>
      <c r="C2" s="5" t="s">
        <v>234</v>
      </c>
      <c r="D2" s="8" t="s">
        <v>14</v>
      </c>
      <c r="E2" s="8" t="s">
        <v>14</v>
      </c>
      <c r="F2" s="8" t="s">
        <v>13</v>
      </c>
      <c r="G2" s="8" t="s">
        <v>14</v>
      </c>
      <c r="H2" s="8" t="s">
        <v>14</v>
      </c>
      <c r="I2" s="8" t="s">
        <v>15</v>
      </c>
      <c r="J2" s="8" t="s">
        <v>232</v>
      </c>
      <c r="K2" s="8" t="s">
        <v>235</v>
      </c>
    </row>
    <row r="3" spans="1:11" s="5" customFormat="1" x14ac:dyDescent="0.25">
      <c r="A3" s="5" t="s">
        <v>35</v>
      </c>
      <c r="B3" s="5" t="s">
        <v>267</v>
      </c>
      <c r="C3" s="5" t="s">
        <v>236</v>
      </c>
      <c r="D3" s="8" t="s">
        <v>14</v>
      </c>
      <c r="E3" s="8" t="s">
        <v>14</v>
      </c>
      <c r="F3" s="8" t="s">
        <v>13</v>
      </c>
      <c r="G3" s="8" t="s">
        <v>14</v>
      </c>
      <c r="H3" s="8" t="s">
        <v>14</v>
      </c>
      <c r="I3" s="8" t="s">
        <v>15</v>
      </c>
      <c r="J3" s="8" t="s">
        <v>232</v>
      </c>
      <c r="K3" s="8" t="s">
        <v>237</v>
      </c>
    </row>
    <row r="4" spans="1:11" s="52" customFormat="1" x14ac:dyDescent="0.25">
      <c r="A4" s="52" t="s">
        <v>56</v>
      </c>
      <c r="B4" s="52" t="s">
        <v>267</v>
      </c>
      <c r="C4" s="52" t="s">
        <v>249</v>
      </c>
      <c r="D4" s="69" t="s">
        <v>13</v>
      </c>
      <c r="E4" s="69" t="s">
        <v>14</v>
      </c>
      <c r="F4" s="69" t="s">
        <v>14</v>
      </c>
      <c r="G4" s="69" t="s">
        <v>14</v>
      </c>
      <c r="H4" s="69" t="s">
        <v>14</v>
      </c>
      <c r="I4" s="69" t="s">
        <v>125</v>
      </c>
      <c r="J4" s="69"/>
      <c r="K4" s="69" t="s">
        <v>250</v>
      </c>
    </row>
    <row r="5" spans="1:11" s="52" customFormat="1" x14ac:dyDescent="0.25">
      <c r="A5" s="52" t="s">
        <v>56</v>
      </c>
      <c r="B5" s="52" t="s">
        <v>513</v>
      </c>
      <c r="C5" s="52" t="s">
        <v>578</v>
      </c>
      <c r="D5" s="69" t="s">
        <v>253</v>
      </c>
      <c r="E5" s="69"/>
      <c r="F5" s="69" t="s">
        <v>14</v>
      </c>
      <c r="G5" s="69" t="s">
        <v>14</v>
      </c>
      <c r="H5" s="69" t="s">
        <v>14</v>
      </c>
      <c r="I5" s="69" t="s">
        <v>15</v>
      </c>
      <c r="J5" s="69" t="s">
        <v>579</v>
      </c>
      <c r="K5" s="69" t="s">
        <v>580</v>
      </c>
    </row>
    <row r="6" spans="1:11" s="54" customFormat="1" x14ac:dyDescent="0.25">
      <c r="A6" s="54" t="s">
        <v>212</v>
      </c>
      <c r="B6" s="54" t="s">
        <v>267</v>
      </c>
      <c r="C6" s="54" t="s">
        <v>211</v>
      </c>
      <c r="D6" s="71" t="s">
        <v>14</v>
      </c>
      <c r="E6" s="71" t="s">
        <v>14</v>
      </c>
      <c r="F6" s="71" t="s">
        <v>14</v>
      </c>
      <c r="G6" s="71" t="s">
        <v>14</v>
      </c>
      <c r="H6" s="71" t="s">
        <v>14</v>
      </c>
      <c r="I6" s="71" t="s">
        <v>15</v>
      </c>
      <c r="J6" s="71" t="s">
        <v>213</v>
      </c>
      <c r="K6" s="71"/>
    </row>
    <row r="7" spans="1:11" s="54" customFormat="1" x14ac:dyDescent="0.25">
      <c r="A7" s="54" t="s">
        <v>212</v>
      </c>
      <c r="B7" s="54" t="s">
        <v>355</v>
      </c>
      <c r="C7" s="55" t="s">
        <v>339</v>
      </c>
      <c r="D7" s="71" t="s">
        <v>306</v>
      </c>
      <c r="E7" s="71" t="s">
        <v>43</v>
      </c>
      <c r="F7" s="71" t="s">
        <v>43</v>
      </c>
      <c r="G7" s="71" t="s">
        <v>43</v>
      </c>
      <c r="H7" s="71" t="s">
        <v>43</v>
      </c>
      <c r="I7" s="71" t="s">
        <v>15</v>
      </c>
      <c r="J7" s="71" t="s">
        <v>340</v>
      </c>
      <c r="K7" s="71" t="s">
        <v>341</v>
      </c>
    </row>
    <row r="8" spans="1:11" s="54" customFormat="1" x14ac:dyDescent="0.25">
      <c r="A8" s="54" t="s">
        <v>212</v>
      </c>
      <c r="B8" s="54" t="s">
        <v>355</v>
      </c>
      <c r="C8" s="55" t="s">
        <v>348</v>
      </c>
      <c r="D8" s="71" t="s">
        <v>306</v>
      </c>
      <c r="E8" s="71" t="s">
        <v>43</v>
      </c>
      <c r="F8" s="71" t="s">
        <v>43</v>
      </c>
      <c r="G8" s="71" t="s">
        <v>43</v>
      </c>
      <c r="H8" s="71" t="s">
        <v>306</v>
      </c>
      <c r="I8" s="71" t="s">
        <v>15</v>
      </c>
      <c r="J8" s="71" t="s">
        <v>349</v>
      </c>
      <c r="K8" s="71" t="s">
        <v>350</v>
      </c>
    </row>
    <row r="9" spans="1:11" s="54" customFormat="1" x14ac:dyDescent="0.25">
      <c r="A9" s="54" t="s">
        <v>212</v>
      </c>
      <c r="B9" s="54" t="s">
        <v>357</v>
      </c>
      <c r="C9" s="54" t="s">
        <v>358</v>
      </c>
      <c r="D9" s="71" t="s">
        <v>14</v>
      </c>
      <c r="E9" s="71" t="s">
        <v>14</v>
      </c>
      <c r="F9" s="71" t="s">
        <v>14</v>
      </c>
      <c r="G9" s="71" t="s">
        <v>14</v>
      </c>
      <c r="H9" s="71" t="s">
        <v>13</v>
      </c>
      <c r="I9" s="71" t="s">
        <v>15</v>
      </c>
      <c r="J9" s="71" t="s">
        <v>359</v>
      </c>
      <c r="K9" s="71" t="s">
        <v>360</v>
      </c>
    </row>
    <row r="10" spans="1:11" s="54" customFormat="1" x14ac:dyDescent="0.25">
      <c r="A10" s="54" t="s">
        <v>212</v>
      </c>
      <c r="B10" s="54" t="s">
        <v>448</v>
      </c>
      <c r="C10" s="54" t="s">
        <v>458</v>
      </c>
      <c r="D10" s="71" t="s">
        <v>13</v>
      </c>
      <c r="E10" s="71" t="s">
        <v>14</v>
      </c>
      <c r="F10" s="71" t="s">
        <v>14</v>
      </c>
      <c r="G10" s="71" t="s">
        <v>13</v>
      </c>
      <c r="H10" s="71" t="s">
        <v>14</v>
      </c>
      <c r="I10" s="71" t="s">
        <v>15</v>
      </c>
      <c r="J10" s="71" t="s">
        <v>459</v>
      </c>
      <c r="K10" s="71" t="s">
        <v>460</v>
      </c>
    </row>
    <row r="11" spans="1:11" s="62" customFormat="1" x14ac:dyDescent="0.25">
      <c r="A11" s="62" t="s">
        <v>114</v>
      </c>
      <c r="B11" s="62" t="s">
        <v>117</v>
      </c>
      <c r="C11" s="62" t="s">
        <v>113</v>
      </c>
      <c r="D11" s="80" t="s">
        <v>13</v>
      </c>
      <c r="E11" s="80" t="s">
        <v>14</v>
      </c>
      <c r="F11" s="80" t="s">
        <v>13</v>
      </c>
      <c r="G11" s="80" t="s">
        <v>14</v>
      </c>
      <c r="H11" s="80" t="s">
        <v>14</v>
      </c>
      <c r="I11" s="80" t="s">
        <v>40</v>
      </c>
      <c r="J11" s="80" t="s">
        <v>115</v>
      </c>
      <c r="K11" s="80" t="s">
        <v>116</v>
      </c>
    </row>
    <row r="12" spans="1:11" s="62" customFormat="1" x14ac:dyDescent="0.25">
      <c r="A12" s="62" t="s">
        <v>114</v>
      </c>
      <c r="B12" s="62" t="s">
        <v>267</v>
      </c>
      <c r="C12" s="62" t="s">
        <v>209</v>
      </c>
      <c r="D12" s="80" t="s">
        <v>14</v>
      </c>
      <c r="E12" s="80" t="s">
        <v>14</v>
      </c>
      <c r="F12" s="80" t="s">
        <v>14</v>
      </c>
      <c r="G12" s="80" t="s">
        <v>14</v>
      </c>
      <c r="H12" s="80" t="s">
        <v>14</v>
      </c>
      <c r="I12" s="80" t="s">
        <v>15</v>
      </c>
      <c r="J12" s="80" t="s">
        <v>199</v>
      </c>
      <c r="K12" s="80"/>
    </row>
    <row r="13" spans="1:11" s="62" customFormat="1" x14ac:dyDescent="0.25">
      <c r="A13" s="62" t="s">
        <v>114</v>
      </c>
      <c r="B13" s="62" t="s">
        <v>267</v>
      </c>
      <c r="C13" s="62" t="s">
        <v>224</v>
      </c>
      <c r="D13" s="80" t="s">
        <v>14</v>
      </c>
      <c r="E13" s="80" t="s">
        <v>14</v>
      </c>
      <c r="F13" s="80" t="s">
        <v>14</v>
      </c>
      <c r="G13" s="80" t="s">
        <v>14</v>
      </c>
      <c r="H13" s="80" t="s">
        <v>14</v>
      </c>
      <c r="I13" s="80" t="s">
        <v>15</v>
      </c>
      <c r="J13" s="80" t="s">
        <v>225</v>
      </c>
      <c r="K13" s="80"/>
    </row>
    <row r="14" spans="1:11" s="62" customFormat="1" x14ac:dyDescent="0.25">
      <c r="A14" s="62" t="s">
        <v>114</v>
      </c>
      <c r="B14" s="62" t="s">
        <v>357</v>
      </c>
      <c r="C14" s="62" t="s">
        <v>361</v>
      </c>
      <c r="D14" s="80" t="s">
        <v>14</v>
      </c>
      <c r="E14" s="80" t="s">
        <v>14</v>
      </c>
      <c r="F14" s="80" t="s">
        <v>14</v>
      </c>
      <c r="G14" s="80" t="s">
        <v>14</v>
      </c>
      <c r="H14" s="80" t="s">
        <v>13</v>
      </c>
      <c r="I14" s="80" t="s">
        <v>15</v>
      </c>
      <c r="J14" s="80" t="s">
        <v>362</v>
      </c>
      <c r="K14" s="80" t="s">
        <v>363</v>
      </c>
    </row>
    <row r="15" spans="1:11" s="62" customFormat="1" x14ac:dyDescent="0.25">
      <c r="A15" s="62" t="s">
        <v>114</v>
      </c>
      <c r="B15" s="62" t="s">
        <v>512</v>
      </c>
      <c r="C15" s="62" t="s">
        <v>500</v>
      </c>
      <c r="D15" s="80" t="s">
        <v>253</v>
      </c>
      <c r="E15" s="80" t="s">
        <v>14</v>
      </c>
      <c r="F15" s="80" t="s">
        <v>13</v>
      </c>
      <c r="G15" s="80" t="s">
        <v>13</v>
      </c>
      <c r="H15" s="80" t="s">
        <v>13</v>
      </c>
      <c r="I15" s="80" t="s">
        <v>256</v>
      </c>
      <c r="J15" s="80"/>
      <c r="K15" s="80" t="s">
        <v>501</v>
      </c>
    </row>
    <row r="16" spans="1:11" s="62" customFormat="1" x14ac:dyDescent="0.25">
      <c r="A16" s="62" t="s">
        <v>114</v>
      </c>
      <c r="B16" s="62" t="s">
        <v>588</v>
      </c>
      <c r="C16" s="62" t="s">
        <v>500</v>
      </c>
      <c r="D16" s="80" t="s">
        <v>13</v>
      </c>
      <c r="E16" s="80" t="s">
        <v>14</v>
      </c>
      <c r="F16" s="80" t="s">
        <v>43</v>
      </c>
      <c r="G16" s="80" t="s">
        <v>13</v>
      </c>
      <c r="H16" s="80" t="s">
        <v>589</v>
      </c>
      <c r="I16" s="80" t="s">
        <v>15</v>
      </c>
      <c r="J16" s="80" t="s">
        <v>590</v>
      </c>
      <c r="K16" s="80" t="s">
        <v>591</v>
      </c>
    </row>
    <row r="17" spans="1:11" s="62" customFormat="1" x14ac:dyDescent="0.25">
      <c r="A17" s="62" t="s">
        <v>114</v>
      </c>
      <c r="B17" s="62" t="s">
        <v>588</v>
      </c>
      <c r="C17" s="62" t="s">
        <v>592</v>
      </c>
      <c r="D17" s="80" t="s">
        <v>13</v>
      </c>
      <c r="E17" s="80" t="s">
        <v>14</v>
      </c>
      <c r="F17" s="80" t="s">
        <v>43</v>
      </c>
      <c r="G17" s="80" t="s">
        <v>13</v>
      </c>
      <c r="H17" s="80" t="s">
        <v>589</v>
      </c>
      <c r="I17" s="80" t="s">
        <v>15</v>
      </c>
      <c r="J17" s="80" t="s">
        <v>593</v>
      </c>
      <c r="K17" s="80" t="s">
        <v>594</v>
      </c>
    </row>
    <row r="18" spans="1:11" s="61" customFormat="1" x14ac:dyDescent="0.25">
      <c r="A18" s="61" t="s">
        <v>189</v>
      </c>
      <c r="B18" s="61" t="s">
        <v>197</v>
      </c>
      <c r="C18" s="61" t="s">
        <v>188</v>
      </c>
      <c r="D18" s="83" t="s">
        <v>13</v>
      </c>
      <c r="E18" s="83" t="s">
        <v>14</v>
      </c>
      <c r="F18" s="83"/>
      <c r="G18" s="83" t="s">
        <v>14</v>
      </c>
      <c r="H18" s="83" t="s">
        <v>14</v>
      </c>
      <c r="I18" s="83" t="s">
        <v>15</v>
      </c>
      <c r="J18" s="83" t="s">
        <v>190</v>
      </c>
      <c r="K18" s="83" t="s">
        <v>191</v>
      </c>
    </row>
    <row r="19" spans="1:11" s="61" customFormat="1" x14ac:dyDescent="0.25">
      <c r="A19" s="61" t="s">
        <v>189</v>
      </c>
      <c r="B19" s="61" t="s">
        <v>197</v>
      </c>
      <c r="C19" s="61" t="s">
        <v>192</v>
      </c>
      <c r="D19" s="83" t="s">
        <v>13</v>
      </c>
      <c r="E19" s="83" t="s">
        <v>14</v>
      </c>
      <c r="F19" s="83"/>
      <c r="G19" s="83" t="s">
        <v>14</v>
      </c>
      <c r="H19" s="83" t="s">
        <v>14</v>
      </c>
      <c r="I19" s="83" t="s">
        <v>15</v>
      </c>
      <c r="J19" s="83" t="s">
        <v>190</v>
      </c>
      <c r="K19" s="83" t="s">
        <v>191</v>
      </c>
    </row>
    <row r="20" spans="1:11" s="61" customFormat="1" x14ac:dyDescent="0.25">
      <c r="A20" s="61" t="s">
        <v>189</v>
      </c>
      <c r="B20" s="61" t="s">
        <v>267</v>
      </c>
      <c r="C20" s="61" t="s">
        <v>207</v>
      </c>
      <c r="D20" s="83" t="s">
        <v>14</v>
      </c>
      <c r="E20" s="83" t="s">
        <v>14</v>
      </c>
      <c r="F20" s="83" t="s">
        <v>14</v>
      </c>
      <c r="G20" s="83" t="s">
        <v>14</v>
      </c>
      <c r="H20" s="83" t="s">
        <v>14</v>
      </c>
      <c r="I20" s="83" t="s">
        <v>15</v>
      </c>
      <c r="J20" s="83" t="s">
        <v>199</v>
      </c>
      <c r="K20" s="83"/>
    </row>
    <row r="21" spans="1:11" s="61" customFormat="1" x14ac:dyDescent="0.25">
      <c r="A21" s="61" t="s">
        <v>189</v>
      </c>
      <c r="B21" s="61" t="s">
        <v>267</v>
      </c>
      <c r="C21" s="61" t="s">
        <v>218</v>
      </c>
      <c r="D21" s="83" t="s">
        <v>14</v>
      </c>
      <c r="E21" s="83" t="s">
        <v>14</v>
      </c>
      <c r="F21" s="83" t="s">
        <v>14</v>
      </c>
      <c r="G21" s="83" t="s">
        <v>14</v>
      </c>
      <c r="H21" s="83" t="s">
        <v>14</v>
      </c>
      <c r="I21" s="83" t="s">
        <v>15</v>
      </c>
      <c r="J21" s="83" t="s">
        <v>199</v>
      </c>
      <c r="K21" s="83"/>
    </row>
    <row r="22" spans="1:11" s="61" customFormat="1" x14ac:dyDescent="0.25">
      <c r="A22" s="61" t="s">
        <v>189</v>
      </c>
      <c r="B22" s="61" t="s">
        <v>267</v>
      </c>
      <c r="C22" s="61" t="s">
        <v>231</v>
      </c>
      <c r="D22" s="83" t="s">
        <v>14</v>
      </c>
      <c r="E22" s="83" t="s">
        <v>14</v>
      </c>
      <c r="F22" s="83" t="s">
        <v>13</v>
      </c>
      <c r="G22" s="83" t="s">
        <v>14</v>
      </c>
      <c r="H22" s="83" t="s">
        <v>14</v>
      </c>
      <c r="I22" s="83" t="s">
        <v>15</v>
      </c>
      <c r="J22" s="83" t="s">
        <v>232</v>
      </c>
      <c r="K22" s="83" t="s">
        <v>233</v>
      </c>
    </row>
    <row r="23" spans="1:11" s="61" customFormat="1" x14ac:dyDescent="0.25">
      <c r="A23" s="61" t="s">
        <v>189</v>
      </c>
      <c r="B23" s="61" t="s">
        <v>267</v>
      </c>
      <c r="C23" s="61" t="s">
        <v>247</v>
      </c>
      <c r="D23" s="83" t="s">
        <v>13</v>
      </c>
      <c r="E23" s="83" t="s">
        <v>14</v>
      </c>
      <c r="F23" s="83" t="s">
        <v>14</v>
      </c>
      <c r="G23" s="83" t="s">
        <v>14</v>
      </c>
      <c r="H23" s="83" t="s">
        <v>14</v>
      </c>
      <c r="I23" s="83" t="s">
        <v>15</v>
      </c>
      <c r="J23" s="201" t="s">
        <v>807</v>
      </c>
      <c r="K23" s="83" t="s">
        <v>248</v>
      </c>
    </row>
    <row r="24" spans="1:11" s="61" customFormat="1" x14ac:dyDescent="0.25">
      <c r="A24" s="61" t="s">
        <v>189</v>
      </c>
      <c r="B24" s="61" t="s">
        <v>588</v>
      </c>
      <c r="C24" s="61" t="s">
        <v>610</v>
      </c>
      <c r="D24" s="83" t="s">
        <v>13</v>
      </c>
      <c r="E24" s="83" t="s">
        <v>13</v>
      </c>
      <c r="F24" s="83" t="s">
        <v>14</v>
      </c>
      <c r="G24" s="83" t="s">
        <v>14</v>
      </c>
      <c r="H24" s="83" t="s">
        <v>13</v>
      </c>
      <c r="I24" s="83" t="s">
        <v>15</v>
      </c>
      <c r="J24" s="201" t="s">
        <v>807</v>
      </c>
      <c r="K24" s="83"/>
    </row>
    <row r="25" spans="1:11" s="6" customFormat="1" x14ac:dyDescent="0.25">
      <c r="A25" s="6" t="s">
        <v>34</v>
      </c>
      <c r="B25" s="6" t="s">
        <v>267</v>
      </c>
      <c r="C25" s="6" t="s">
        <v>226</v>
      </c>
      <c r="D25" s="87" t="s">
        <v>14</v>
      </c>
      <c r="E25" s="87" t="s">
        <v>13</v>
      </c>
      <c r="F25" s="87" t="s">
        <v>14</v>
      </c>
      <c r="G25" s="87" t="s">
        <v>13</v>
      </c>
      <c r="H25" s="87" t="s">
        <v>14</v>
      </c>
      <c r="I25" s="87" t="s">
        <v>15</v>
      </c>
      <c r="J25" s="87" t="s">
        <v>227</v>
      </c>
      <c r="K25" s="87" t="s">
        <v>228</v>
      </c>
    </row>
    <row r="26" spans="1:11" s="6" customFormat="1" x14ac:dyDescent="0.25">
      <c r="A26" s="6" t="s">
        <v>34</v>
      </c>
      <c r="B26" s="6" t="s">
        <v>611</v>
      </c>
      <c r="C26" s="6" t="s">
        <v>612</v>
      </c>
      <c r="D26" s="87" t="s">
        <v>14</v>
      </c>
      <c r="E26" s="87" t="s">
        <v>14</v>
      </c>
      <c r="F26" s="87" t="s">
        <v>14</v>
      </c>
      <c r="G26" s="87" t="s">
        <v>14</v>
      </c>
      <c r="H26" s="87" t="s">
        <v>14</v>
      </c>
      <c r="I26" s="87" t="s">
        <v>15</v>
      </c>
      <c r="J26" s="87" t="s">
        <v>613</v>
      </c>
      <c r="K26" s="87"/>
    </row>
    <row r="27" spans="1:11" s="72" customFormat="1" x14ac:dyDescent="0.25">
      <c r="A27" s="72" t="s">
        <v>72</v>
      </c>
      <c r="B27" s="72" t="s">
        <v>70</v>
      </c>
      <c r="C27" s="72" t="s">
        <v>71</v>
      </c>
      <c r="D27" s="73" t="s">
        <v>13</v>
      </c>
      <c r="E27" s="73" t="s">
        <v>13</v>
      </c>
      <c r="F27" s="73" t="s">
        <v>14</v>
      </c>
      <c r="G27" s="73" t="s">
        <v>14</v>
      </c>
      <c r="H27" s="73" t="s">
        <v>13</v>
      </c>
      <c r="I27" s="73" t="s">
        <v>15</v>
      </c>
      <c r="J27" s="73"/>
      <c r="K27" s="73" t="s">
        <v>73</v>
      </c>
    </row>
    <row r="28" spans="1:11" s="72" customFormat="1" x14ac:dyDescent="0.25">
      <c r="A28" s="72" t="s">
        <v>72</v>
      </c>
      <c r="B28" s="72" t="s">
        <v>172</v>
      </c>
      <c r="C28" s="72" t="s">
        <v>170</v>
      </c>
      <c r="D28" s="73" t="s">
        <v>14</v>
      </c>
      <c r="E28" s="73" t="s">
        <v>14</v>
      </c>
      <c r="F28" s="73" t="s">
        <v>167</v>
      </c>
      <c r="G28" s="73" t="s">
        <v>13</v>
      </c>
      <c r="H28" s="73" t="s">
        <v>14</v>
      </c>
      <c r="I28" s="73" t="s">
        <v>15</v>
      </c>
      <c r="J28" s="73" t="s">
        <v>171</v>
      </c>
      <c r="K28" s="73" t="s">
        <v>148</v>
      </c>
    </row>
    <row r="29" spans="1:11" s="72" customFormat="1" x14ac:dyDescent="0.25">
      <c r="A29" s="72" t="s">
        <v>72</v>
      </c>
      <c r="B29" s="72" t="s">
        <v>448</v>
      </c>
      <c r="C29" s="72" t="s">
        <v>461</v>
      </c>
      <c r="D29" s="73" t="s">
        <v>13</v>
      </c>
      <c r="E29" s="73" t="s">
        <v>14</v>
      </c>
      <c r="F29" s="73" t="s">
        <v>14</v>
      </c>
      <c r="G29" s="73" t="s">
        <v>13</v>
      </c>
      <c r="H29" s="73" t="s">
        <v>14</v>
      </c>
      <c r="I29" s="73" t="s">
        <v>15</v>
      </c>
      <c r="J29" s="73" t="s">
        <v>462</v>
      </c>
      <c r="K29" s="73" t="s">
        <v>463</v>
      </c>
    </row>
    <row r="30" spans="1:11" s="72" customFormat="1" x14ac:dyDescent="0.25">
      <c r="A30" s="72" t="s">
        <v>72</v>
      </c>
      <c r="B30" s="72" t="s">
        <v>588</v>
      </c>
      <c r="C30" s="72" t="s">
        <v>604</v>
      </c>
      <c r="D30" s="73" t="s">
        <v>13</v>
      </c>
      <c r="E30" s="73" t="s">
        <v>14</v>
      </c>
      <c r="F30" s="73" t="s">
        <v>14</v>
      </c>
      <c r="G30" s="73" t="s">
        <v>13</v>
      </c>
      <c r="H30" s="73" t="s">
        <v>13</v>
      </c>
      <c r="I30" s="73" t="s">
        <v>15</v>
      </c>
      <c r="J30" s="73" t="s">
        <v>605</v>
      </c>
      <c r="K30" s="73" t="s">
        <v>606</v>
      </c>
    </row>
    <row r="31" spans="1:11" s="72" customFormat="1" x14ac:dyDescent="0.25">
      <c r="A31" s="72" t="s">
        <v>72</v>
      </c>
      <c r="B31" s="72" t="s">
        <v>611</v>
      </c>
      <c r="C31" s="72" t="s">
        <v>614</v>
      </c>
      <c r="D31" s="73" t="s">
        <v>14</v>
      </c>
      <c r="E31" s="73" t="s">
        <v>253</v>
      </c>
      <c r="F31" s="73" t="s">
        <v>14</v>
      </c>
      <c r="G31" s="73" t="s">
        <v>14</v>
      </c>
      <c r="H31" s="73" t="s">
        <v>14</v>
      </c>
      <c r="I31" s="73" t="s">
        <v>15</v>
      </c>
      <c r="J31" s="73" t="s">
        <v>615</v>
      </c>
      <c r="K31" s="73"/>
    </row>
    <row r="32" spans="1:11" s="85" customFormat="1" x14ac:dyDescent="0.25">
      <c r="A32" s="85" t="s">
        <v>121</v>
      </c>
      <c r="B32" s="85" t="s">
        <v>126</v>
      </c>
      <c r="C32" s="85" t="s">
        <v>120</v>
      </c>
      <c r="D32" s="86" t="s">
        <v>14</v>
      </c>
      <c r="E32" s="86" t="s">
        <v>14</v>
      </c>
      <c r="F32" s="86" t="s">
        <v>14</v>
      </c>
      <c r="G32" s="86" t="s">
        <v>14</v>
      </c>
      <c r="H32" s="86" t="s">
        <v>14</v>
      </c>
      <c r="I32" s="86" t="s">
        <v>582</v>
      </c>
      <c r="J32" s="86" t="s">
        <v>122</v>
      </c>
      <c r="K32" s="86"/>
    </row>
    <row r="33" spans="1:11" s="85" customFormat="1" x14ac:dyDescent="0.25">
      <c r="A33" s="85" t="s">
        <v>121</v>
      </c>
      <c r="B33" s="85" t="s">
        <v>126</v>
      </c>
      <c r="C33" s="85" t="s">
        <v>123</v>
      </c>
      <c r="D33" s="86" t="s">
        <v>14</v>
      </c>
      <c r="E33" s="86" t="s">
        <v>14</v>
      </c>
      <c r="F33" s="86" t="s">
        <v>14</v>
      </c>
      <c r="G33" s="86" t="s">
        <v>14</v>
      </c>
      <c r="H33" s="86" t="s">
        <v>14</v>
      </c>
      <c r="I33" s="86" t="s">
        <v>582</v>
      </c>
      <c r="J33" s="86" t="s">
        <v>122</v>
      </c>
      <c r="K33" s="86"/>
    </row>
    <row r="34" spans="1:11" s="85" customFormat="1" x14ac:dyDescent="0.25">
      <c r="A34" s="85" t="s">
        <v>121</v>
      </c>
      <c r="B34" s="85" t="s">
        <v>126</v>
      </c>
      <c r="C34" s="85" t="s">
        <v>124</v>
      </c>
      <c r="D34" s="86" t="s">
        <v>14</v>
      </c>
      <c r="E34" s="86" t="s">
        <v>14</v>
      </c>
      <c r="F34" s="86" t="s">
        <v>14</v>
      </c>
      <c r="G34" s="86" t="s">
        <v>14</v>
      </c>
      <c r="H34" s="86" t="s">
        <v>14</v>
      </c>
      <c r="I34" s="86" t="s">
        <v>125</v>
      </c>
      <c r="J34" s="86" t="s">
        <v>122</v>
      </c>
      <c r="K34" s="86"/>
    </row>
    <row r="35" spans="1:11" s="85" customFormat="1" x14ac:dyDescent="0.25">
      <c r="A35" s="85" t="s">
        <v>121</v>
      </c>
      <c r="B35" s="85" t="s">
        <v>267</v>
      </c>
      <c r="C35" s="85" t="s">
        <v>198</v>
      </c>
      <c r="D35" s="86" t="s">
        <v>14</v>
      </c>
      <c r="E35" s="86" t="s">
        <v>14</v>
      </c>
      <c r="F35" s="86" t="s">
        <v>14</v>
      </c>
      <c r="G35" s="86" t="s">
        <v>14</v>
      </c>
      <c r="H35" s="86" t="s">
        <v>14</v>
      </c>
      <c r="I35" s="86" t="s">
        <v>15</v>
      </c>
      <c r="J35" s="86" t="s">
        <v>199</v>
      </c>
      <c r="K35" s="86" t="s">
        <v>200</v>
      </c>
    </row>
    <row r="36" spans="1:11" s="85" customFormat="1" x14ac:dyDescent="0.25">
      <c r="A36" s="85" t="s">
        <v>121</v>
      </c>
      <c r="B36" s="85" t="s">
        <v>267</v>
      </c>
      <c r="C36" s="85" t="s">
        <v>215</v>
      </c>
      <c r="D36" s="86" t="s">
        <v>14</v>
      </c>
      <c r="E36" s="86" t="s">
        <v>14</v>
      </c>
      <c r="F36" s="86" t="s">
        <v>14</v>
      </c>
      <c r="G36" s="86" t="s">
        <v>14</v>
      </c>
      <c r="H36" s="86" t="s">
        <v>14</v>
      </c>
      <c r="I36" s="86" t="s">
        <v>15</v>
      </c>
      <c r="J36" s="86" t="s">
        <v>199</v>
      </c>
      <c r="K36" s="86"/>
    </row>
    <row r="37" spans="1:11" s="85" customFormat="1" x14ac:dyDescent="0.25">
      <c r="A37" s="85" t="s">
        <v>121</v>
      </c>
      <c r="B37" s="85" t="s">
        <v>267</v>
      </c>
      <c r="C37" s="85" t="s">
        <v>229</v>
      </c>
      <c r="D37" s="86" t="s">
        <v>14</v>
      </c>
      <c r="E37" s="86" t="s">
        <v>14</v>
      </c>
      <c r="F37" s="86" t="s">
        <v>14</v>
      </c>
      <c r="G37" s="86" t="s">
        <v>14</v>
      </c>
      <c r="H37" s="86" t="s">
        <v>14</v>
      </c>
      <c r="I37" s="86" t="s">
        <v>15</v>
      </c>
      <c r="J37" s="86" t="s">
        <v>199</v>
      </c>
      <c r="K37" s="86" t="s">
        <v>230</v>
      </c>
    </row>
    <row r="38" spans="1:11" s="85" customFormat="1" x14ac:dyDescent="0.25">
      <c r="A38" s="85" t="s">
        <v>121</v>
      </c>
      <c r="B38" s="85" t="s">
        <v>278</v>
      </c>
      <c r="C38" s="85" t="s">
        <v>276</v>
      </c>
      <c r="D38" s="86" t="s">
        <v>13</v>
      </c>
      <c r="E38" s="86" t="s">
        <v>14</v>
      </c>
      <c r="F38" s="86" t="s">
        <v>14</v>
      </c>
      <c r="G38" s="86" t="s">
        <v>13</v>
      </c>
      <c r="H38" s="86" t="s">
        <v>14</v>
      </c>
      <c r="I38" s="86" t="s">
        <v>15</v>
      </c>
      <c r="J38" s="86" t="s">
        <v>277</v>
      </c>
      <c r="K38" s="86"/>
    </row>
    <row r="39" spans="1:11" s="85" customFormat="1" x14ac:dyDescent="0.25">
      <c r="A39" s="85" t="s">
        <v>121</v>
      </c>
      <c r="B39" s="85" t="s">
        <v>442</v>
      </c>
      <c r="C39" s="85" t="s">
        <v>436</v>
      </c>
      <c r="D39" s="86"/>
      <c r="E39" s="86" t="s">
        <v>14</v>
      </c>
      <c r="F39" s="86" t="s">
        <v>14</v>
      </c>
      <c r="G39" s="86" t="s">
        <v>14</v>
      </c>
      <c r="H39" s="86" t="s">
        <v>14</v>
      </c>
      <c r="I39" s="86" t="s">
        <v>403</v>
      </c>
      <c r="J39" s="86"/>
      <c r="K39" s="86"/>
    </row>
    <row r="40" spans="1:11" s="85" customFormat="1" x14ac:dyDescent="0.25">
      <c r="A40" s="85" t="s">
        <v>121</v>
      </c>
      <c r="B40" s="85" t="s">
        <v>442</v>
      </c>
      <c r="C40" s="85" t="s">
        <v>439</v>
      </c>
      <c r="D40" s="86"/>
      <c r="E40" s="86" t="s">
        <v>14</v>
      </c>
      <c r="F40" s="86" t="s">
        <v>14</v>
      </c>
      <c r="G40" s="86" t="s">
        <v>14</v>
      </c>
      <c r="H40" s="86" t="s">
        <v>14</v>
      </c>
      <c r="I40" s="86" t="s">
        <v>256</v>
      </c>
      <c r="J40" s="86"/>
      <c r="K40" s="86"/>
    </row>
    <row r="41" spans="1:11" s="85" customFormat="1" x14ac:dyDescent="0.25">
      <c r="A41" s="85" t="s">
        <v>121</v>
      </c>
      <c r="B41" s="85" t="s">
        <v>513</v>
      </c>
      <c r="C41" s="85" t="s">
        <v>514</v>
      </c>
      <c r="D41" s="86" t="s">
        <v>13</v>
      </c>
      <c r="E41" s="86" t="s">
        <v>14</v>
      </c>
      <c r="F41" s="86" t="s">
        <v>13</v>
      </c>
      <c r="G41" s="86" t="s">
        <v>14</v>
      </c>
      <c r="H41" s="86" t="s">
        <v>14</v>
      </c>
      <c r="I41" s="86" t="s">
        <v>15</v>
      </c>
      <c r="J41" s="86" t="s">
        <v>515</v>
      </c>
      <c r="K41" s="86" t="s">
        <v>516</v>
      </c>
    </row>
    <row r="42" spans="1:11" s="85" customFormat="1" x14ac:dyDescent="0.25">
      <c r="A42" s="85" t="s">
        <v>121</v>
      </c>
      <c r="B42" s="85" t="s">
        <v>513</v>
      </c>
      <c r="C42" s="85" t="s">
        <v>517</v>
      </c>
      <c r="D42" s="86" t="s">
        <v>253</v>
      </c>
      <c r="E42" s="86" t="s">
        <v>14</v>
      </c>
      <c r="F42" s="86" t="s">
        <v>14</v>
      </c>
      <c r="G42" s="86" t="s">
        <v>14</v>
      </c>
      <c r="H42" s="86" t="s">
        <v>14</v>
      </c>
      <c r="I42" s="86" t="s">
        <v>15</v>
      </c>
      <c r="J42" s="86" t="s">
        <v>518</v>
      </c>
      <c r="K42" s="86" t="s">
        <v>519</v>
      </c>
    </row>
    <row r="43" spans="1:11" s="85" customFormat="1" x14ac:dyDescent="0.25">
      <c r="A43" s="85" t="s">
        <v>121</v>
      </c>
      <c r="B43" s="85" t="s">
        <v>513</v>
      </c>
      <c r="C43" s="85" t="s">
        <v>520</v>
      </c>
      <c r="D43" s="86" t="s">
        <v>13</v>
      </c>
      <c r="E43" s="86" t="s">
        <v>14</v>
      </c>
      <c r="F43" s="86" t="s">
        <v>14</v>
      </c>
      <c r="G43" s="86" t="s">
        <v>14</v>
      </c>
      <c r="H43" s="86" t="s">
        <v>14</v>
      </c>
      <c r="I43" s="86" t="s">
        <v>15</v>
      </c>
      <c r="J43" s="86" t="s">
        <v>521</v>
      </c>
      <c r="K43" s="86" t="s">
        <v>522</v>
      </c>
    </row>
    <row r="44" spans="1:11" s="85" customFormat="1" x14ac:dyDescent="0.25">
      <c r="A44" s="85" t="s">
        <v>121</v>
      </c>
      <c r="B44" s="85" t="s">
        <v>513</v>
      </c>
      <c r="C44" s="85" t="s">
        <v>523</v>
      </c>
      <c r="D44" s="86" t="s">
        <v>253</v>
      </c>
      <c r="E44" s="86" t="s">
        <v>14</v>
      </c>
      <c r="F44" s="86" t="s">
        <v>14</v>
      </c>
      <c r="G44" s="86" t="s">
        <v>14</v>
      </c>
      <c r="H44" s="86" t="s">
        <v>14</v>
      </c>
      <c r="I44" s="86" t="s">
        <v>15</v>
      </c>
      <c r="J44" s="86" t="s">
        <v>524</v>
      </c>
      <c r="K44" s="86" t="s">
        <v>525</v>
      </c>
    </row>
    <row r="45" spans="1:11" s="85" customFormat="1" x14ac:dyDescent="0.25">
      <c r="A45" s="85" t="s">
        <v>121</v>
      </c>
      <c r="B45" s="85" t="s">
        <v>513</v>
      </c>
      <c r="C45" s="85" t="s">
        <v>526</v>
      </c>
      <c r="D45" s="86" t="s">
        <v>253</v>
      </c>
      <c r="E45" s="86" t="s">
        <v>14</v>
      </c>
      <c r="F45" s="86" t="s">
        <v>14</v>
      </c>
      <c r="G45" s="86" t="s">
        <v>14</v>
      </c>
      <c r="H45" s="86" t="s">
        <v>14</v>
      </c>
      <c r="I45" s="86" t="s">
        <v>15</v>
      </c>
      <c r="J45" s="86" t="s">
        <v>527</v>
      </c>
      <c r="K45" s="86" t="s">
        <v>528</v>
      </c>
    </row>
    <row r="46" spans="1:11" s="85" customFormat="1" x14ac:dyDescent="0.25">
      <c r="A46" s="85" t="s">
        <v>121</v>
      </c>
      <c r="B46" s="85" t="s">
        <v>513</v>
      </c>
      <c r="C46" s="85" t="s">
        <v>531</v>
      </c>
      <c r="D46" s="86" t="s">
        <v>253</v>
      </c>
      <c r="E46" s="86" t="s">
        <v>14</v>
      </c>
      <c r="F46" s="86" t="s">
        <v>14</v>
      </c>
      <c r="G46" s="86" t="s">
        <v>14</v>
      </c>
      <c r="H46" s="86" t="s">
        <v>14</v>
      </c>
      <c r="I46" s="86" t="s">
        <v>15</v>
      </c>
      <c r="J46" s="86" t="s">
        <v>532</v>
      </c>
      <c r="K46" s="86" t="s">
        <v>533</v>
      </c>
    </row>
    <row r="47" spans="1:11" s="85" customFormat="1" x14ac:dyDescent="0.25">
      <c r="A47" s="85" t="s">
        <v>121</v>
      </c>
      <c r="B47" s="85" t="s">
        <v>513</v>
      </c>
      <c r="C47" s="85" t="s">
        <v>534</v>
      </c>
      <c r="D47" s="86" t="s">
        <v>253</v>
      </c>
      <c r="E47" s="86" t="s">
        <v>14</v>
      </c>
      <c r="F47" s="86" t="s">
        <v>14</v>
      </c>
      <c r="G47" s="86" t="s">
        <v>14</v>
      </c>
      <c r="H47" s="86" t="s">
        <v>14</v>
      </c>
      <c r="I47" s="86" t="s">
        <v>15</v>
      </c>
      <c r="J47" s="86" t="s">
        <v>527</v>
      </c>
      <c r="K47" s="86" t="s">
        <v>535</v>
      </c>
    </row>
    <row r="48" spans="1:11" s="85" customFormat="1" x14ac:dyDescent="0.25">
      <c r="A48" s="85" t="s">
        <v>121</v>
      </c>
      <c r="B48" s="85" t="s">
        <v>513</v>
      </c>
      <c r="C48" s="85" t="s">
        <v>536</v>
      </c>
      <c r="D48" s="86" t="s">
        <v>253</v>
      </c>
      <c r="E48" s="86" t="s">
        <v>266</v>
      </c>
      <c r="F48" s="86" t="s">
        <v>14</v>
      </c>
      <c r="G48" s="86" t="s">
        <v>14</v>
      </c>
      <c r="H48" s="86" t="s">
        <v>14</v>
      </c>
      <c r="I48" s="86" t="s">
        <v>15</v>
      </c>
      <c r="J48" s="86" t="s">
        <v>527</v>
      </c>
      <c r="K48" s="86" t="s">
        <v>537</v>
      </c>
    </row>
    <row r="49" spans="1:11" s="85" customFormat="1" x14ac:dyDescent="0.25">
      <c r="A49" s="85" t="s">
        <v>121</v>
      </c>
      <c r="B49" s="85" t="s">
        <v>513</v>
      </c>
      <c r="C49" s="85" t="s">
        <v>538</v>
      </c>
      <c r="D49" s="86" t="s">
        <v>253</v>
      </c>
      <c r="E49" s="86"/>
      <c r="F49" s="86" t="s">
        <v>14</v>
      </c>
      <c r="G49" s="86" t="s">
        <v>14</v>
      </c>
      <c r="H49" s="86" t="s">
        <v>14</v>
      </c>
      <c r="I49" s="86" t="s">
        <v>15</v>
      </c>
      <c r="J49" s="86" t="s">
        <v>527</v>
      </c>
      <c r="K49" s="86" t="s">
        <v>539</v>
      </c>
    </row>
    <row r="50" spans="1:11" s="85" customFormat="1" x14ac:dyDescent="0.25">
      <c r="A50" s="85" t="s">
        <v>121</v>
      </c>
      <c r="B50" s="85" t="s">
        <v>513</v>
      </c>
      <c r="C50" s="85" t="s">
        <v>540</v>
      </c>
      <c r="D50" s="86" t="s">
        <v>253</v>
      </c>
      <c r="E50" s="86" t="s">
        <v>14</v>
      </c>
      <c r="F50" s="86" t="s">
        <v>14</v>
      </c>
      <c r="G50" s="86" t="s">
        <v>14</v>
      </c>
      <c r="H50" s="86" t="s">
        <v>14</v>
      </c>
      <c r="I50" s="86" t="s">
        <v>15</v>
      </c>
      <c r="J50" s="86" t="s">
        <v>527</v>
      </c>
      <c r="K50" s="86" t="s">
        <v>541</v>
      </c>
    </row>
    <row r="51" spans="1:11" s="85" customFormat="1" x14ac:dyDescent="0.25">
      <c r="A51" s="85" t="s">
        <v>121</v>
      </c>
      <c r="B51" s="85" t="s">
        <v>513</v>
      </c>
      <c r="C51" s="85" t="s">
        <v>542</v>
      </c>
      <c r="D51" s="86" t="s">
        <v>253</v>
      </c>
      <c r="E51" s="86" t="s">
        <v>14</v>
      </c>
      <c r="F51" s="86" t="s">
        <v>14</v>
      </c>
      <c r="G51" s="86" t="s">
        <v>14</v>
      </c>
      <c r="H51" s="86" t="s">
        <v>14</v>
      </c>
      <c r="I51" s="86" t="s">
        <v>15</v>
      </c>
      <c r="J51" s="86" t="s">
        <v>543</v>
      </c>
      <c r="K51" s="86" t="s">
        <v>544</v>
      </c>
    </row>
    <row r="52" spans="1:11" s="85" customFormat="1" x14ac:dyDescent="0.25">
      <c r="A52" s="85" t="s">
        <v>121</v>
      </c>
      <c r="B52" s="85" t="s">
        <v>513</v>
      </c>
      <c r="C52" s="85" t="s">
        <v>545</v>
      </c>
      <c r="D52" s="86" t="s">
        <v>253</v>
      </c>
      <c r="E52" s="86" t="s">
        <v>14</v>
      </c>
      <c r="F52" s="86" t="s">
        <v>14</v>
      </c>
      <c r="G52" s="86" t="s">
        <v>14</v>
      </c>
      <c r="H52" s="86" t="s">
        <v>14</v>
      </c>
      <c r="I52" s="86" t="s">
        <v>15</v>
      </c>
      <c r="J52" s="86" t="s">
        <v>546</v>
      </c>
      <c r="K52" s="86" t="s">
        <v>547</v>
      </c>
    </row>
    <row r="53" spans="1:11" s="85" customFormat="1" x14ac:dyDescent="0.25">
      <c r="A53" s="85" t="s">
        <v>121</v>
      </c>
      <c r="B53" s="85" t="s">
        <v>513</v>
      </c>
      <c r="C53" s="85" t="s">
        <v>548</v>
      </c>
      <c r="D53" s="86" t="s">
        <v>253</v>
      </c>
      <c r="E53" s="86" t="s">
        <v>14</v>
      </c>
      <c r="F53" s="86" t="s">
        <v>14</v>
      </c>
      <c r="G53" s="86" t="s">
        <v>14</v>
      </c>
      <c r="H53" s="86" t="s">
        <v>14</v>
      </c>
      <c r="I53" s="86" t="s">
        <v>15</v>
      </c>
      <c r="J53" s="86"/>
      <c r="K53" s="86" t="s">
        <v>549</v>
      </c>
    </row>
    <row r="54" spans="1:11" s="85" customFormat="1" x14ac:dyDescent="0.25">
      <c r="A54" s="85" t="s">
        <v>121</v>
      </c>
      <c r="B54" s="85" t="s">
        <v>513</v>
      </c>
      <c r="C54" s="85" t="s">
        <v>550</v>
      </c>
      <c r="D54" s="86" t="s">
        <v>253</v>
      </c>
      <c r="E54" s="86" t="s">
        <v>14</v>
      </c>
      <c r="F54" s="86" t="s">
        <v>14</v>
      </c>
      <c r="G54" s="86" t="s">
        <v>14</v>
      </c>
      <c r="H54" s="86" t="s">
        <v>14</v>
      </c>
      <c r="I54" s="86" t="s">
        <v>15</v>
      </c>
      <c r="J54" s="86" t="s">
        <v>551</v>
      </c>
      <c r="K54" s="86" t="s">
        <v>552</v>
      </c>
    </row>
    <row r="55" spans="1:11" s="85" customFormat="1" x14ac:dyDescent="0.25">
      <c r="A55" s="85" t="s">
        <v>121</v>
      </c>
      <c r="B55" s="85" t="s">
        <v>513</v>
      </c>
      <c r="C55" s="85" t="s">
        <v>553</v>
      </c>
      <c r="D55" s="86" t="s">
        <v>253</v>
      </c>
      <c r="E55" s="86" t="s">
        <v>14</v>
      </c>
      <c r="F55" s="86" t="s">
        <v>14</v>
      </c>
      <c r="G55" s="86" t="s">
        <v>14</v>
      </c>
      <c r="H55" s="86"/>
      <c r="I55" s="86" t="s">
        <v>15</v>
      </c>
      <c r="J55" s="86" t="s">
        <v>551</v>
      </c>
      <c r="K55" s="86" t="s">
        <v>554</v>
      </c>
    </row>
    <row r="56" spans="1:11" s="85" customFormat="1" x14ac:dyDescent="0.25">
      <c r="A56" s="85" t="s">
        <v>121</v>
      </c>
      <c r="B56" s="85" t="s">
        <v>513</v>
      </c>
      <c r="C56" s="85" t="s">
        <v>555</v>
      </c>
      <c r="D56" s="86" t="s">
        <v>253</v>
      </c>
      <c r="E56" s="86" t="s">
        <v>14</v>
      </c>
      <c r="F56" s="86" t="s">
        <v>14</v>
      </c>
      <c r="G56" s="86" t="s">
        <v>14</v>
      </c>
      <c r="H56" s="86" t="s">
        <v>14</v>
      </c>
      <c r="I56" s="86" t="s">
        <v>15</v>
      </c>
      <c r="J56" s="86" t="s">
        <v>556</v>
      </c>
      <c r="K56" s="86" t="s">
        <v>557</v>
      </c>
    </row>
    <row r="57" spans="1:11" s="85" customFormat="1" x14ac:dyDescent="0.25">
      <c r="A57" s="85" t="s">
        <v>121</v>
      </c>
      <c r="B57" s="85" t="s">
        <v>513</v>
      </c>
      <c r="C57" s="85" t="s">
        <v>558</v>
      </c>
      <c r="D57" s="86" t="s">
        <v>253</v>
      </c>
      <c r="E57" s="86" t="s">
        <v>14</v>
      </c>
      <c r="F57" s="86" t="s">
        <v>14</v>
      </c>
      <c r="G57" s="86" t="s">
        <v>14</v>
      </c>
      <c r="H57" s="86" t="s">
        <v>14</v>
      </c>
      <c r="I57" s="86" t="s">
        <v>15</v>
      </c>
      <c r="J57" s="86"/>
      <c r="K57" s="86" t="s">
        <v>559</v>
      </c>
    </row>
    <row r="58" spans="1:11" s="85" customFormat="1" x14ac:dyDescent="0.25">
      <c r="A58" s="85" t="s">
        <v>121</v>
      </c>
      <c r="B58" s="85" t="s">
        <v>513</v>
      </c>
      <c r="C58" s="85" t="s">
        <v>569</v>
      </c>
      <c r="D58" s="86" t="s">
        <v>253</v>
      </c>
      <c r="E58" s="86"/>
      <c r="F58" s="86" t="s">
        <v>14</v>
      </c>
      <c r="G58" s="86" t="s">
        <v>14</v>
      </c>
      <c r="H58" s="86" t="s">
        <v>14</v>
      </c>
      <c r="I58" s="86" t="s">
        <v>15</v>
      </c>
      <c r="J58" s="86" t="s">
        <v>565</v>
      </c>
      <c r="K58" s="86" t="s">
        <v>566</v>
      </c>
    </row>
    <row r="59" spans="1:11" s="85" customFormat="1" x14ac:dyDescent="0.25">
      <c r="A59" s="85" t="s">
        <v>121</v>
      </c>
      <c r="B59" s="85" t="s">
        <v>513</v>
      </c>
      <c r="C59" s="85" t="s">
        <v>570</v>
      </c>
      <c r="D59" s="86" t="s">
        <v>253</v>
      </c>
      <c r="E59" s="86" t="s">
        <v>14</v>
      </c>
      <c r="F59" s="86" t="s">
        <v>14</v>
      </c>
      <c r="G59" s="86" t="s">
        <v>14</v>
      </c>
      <c r="H59" s="86" t="s">
        <v>14</v>
      </c>
      <c r="I59" s="86" t="s">
        <v>15</v>
      </c>
      <c r="J59" s="86" t="s">
        <v>567</v>
      </c>
      <c r="K59" s="86" t="s">
        <v>568</v>
      </c>
    </row>
    <row r="60" spans="1:11" s="85" customFormat="1" x14ac:dyDescent="0.25">
      <c r="A60" s="85" t="s">
        <v>121</v>
      </c>
      <c r="B60" s="85" t="s">
        <v>513</v>
      </c>
      <c r="C60" s="85" t="s">
        <v>581</v>
      </c>
      <c r="D60" s="86" t="s">
        <v>253</v>
      </c>
      <c r="E60" s="86"/>
      <c r="F60" s="86" t="s">
        <v>14</v>
      </c>
      <c r="G60" s="86" t="s">
        <v>14</v>
      </c>
      <c r="H60" s="86" t="s">
        <v>14</v>
      </c>
      <c r="I60" s="86" t="s">
        <v>582</v>
      </c>
      <c r="J60" s="86"/>
      <c r="K60" s="86" t="s">
        <v>583</v>
      </c>
    </row>
    <row r="61" spans="1:11" s="85" customFormat="1" x14ac:dyDescent="0.25">
      <c r="A61" s="85" t="s">
        <v>121</v>
      </c>
      <c r="B61" s="85" t="s">
        <v>611</v>
      </c>
      <c r="C61" s="85" t="s">
        <v>619</v>
      </c>
      <c r="D61" s="86" t="s">
        <v>13</v>
      </c>
      <c r="E61" s="86" t="s">
        <v>14</v>
      </c>
      <c r="F61" s="86" t="s">
        <v>13</v>
      </c>
      <c r="G61" s="86" t="s">
        <v>13</v>
      </c>
      <c r="H61" s="86" t="s">
        <v>14</v>
      </c>
      <c r="I61" s="86" t="s">
        <v>125</v>
      </c>
      <c r="J61" s="86" t="s">
        <v>620</v>
      </c>
      <c r="K61" s="86" t="s">
        <v>621</v>
      </c>
    </row>
    <row r="62" spans="1:11" s="85" customFormat="1" x14ac:dyDescent="0.25">
      <c r="A62" s="85" t="s">
        <v>121</v>
      </c>
      <c r="B62" s="85" t="s">
        <v>631</v>
      </c>
      <c r="C62" s="85" t="s">
        <v>520</v>
      </c>
      <c r="D62" s="86" t="s">
        <v>13</v>
      </c>
      <c r="E62" s="86" t="s">
        <v>14</v>
      </c>
      <c r="F62" s="86" t="s">
        <v>13</v>
      </c>
      <c r="G62" s="86" t="s">
        <v>35</v>
      </c>
      <c r="H62" s="86" t="s">
        <v>14</v>
      </c>
      <c r="I62" s="86" t="s">
        <v>15</v>
      </c>
      <c r="J62" s="86" t="s">
        <v>624</v>
      </c>
      <c r="K62" s="86" t="s">
        <v>630</v>
      </c>
    </row>
    <row r="63" spans="1:11" s="91" customFormat="1" x14ac:dyDescent="0.25">
      <c r="A63" s="91" t="s">
        <v>206</v>
      </c>
      <c r="B63" s="91" t="s">
        <v>142</v>
      </c>
      <c r="C63" s="91" t="s">
        <v>141</v>
      </c>
      <c r="D63" s="92" t="s">
        <v>13</v>
      </c>
      <c r="E63" s="92" t="s">
        <v>14</v>
      </c>
      <c r="F63" s="92" t="s">
        <v>14</v>
      </c>
      <c r="G63" s="92" t="s">
        <v>13</v>
      </c>
      <c r="H63" s="92" t="s">
        <v>14</v>
      </c>
      <c r="I63" s="92" t="s">
        <v>15</v>
      </c>
      <c r="J63" s="92"/>
      <c r="K63" s="92"/>
    </row>
    <row r="64" spans="1:11" s="91" customFormat="1" x14ac:dyDescent="0.25">
      <c r="A64" s="91" t="s">
        <v>206</v>
      </c>
      <c r="B64" s="91" t="s">
        <v>267</v>
      </c>
      <c r="C64" s="91" t="s">
        <v>205</v>
      </c>
      <c r="D64" s="92" t="s">
        <v>14</v>
      </c>
      <c r="E64" s="92" t="s">
        <v>14</v>
      </c>
      <c r="F64" s="92" t="s">
        <v>14</v>
      </c>
      <c r="G64" s="92" t="s">
        <v>14</v>
      </c>
      <c r="H64" s="92" t="s">
        <v>14</v>
      </c>
      <c r="I64" s="92" t="s">
        <v>15</v>
      </c>
      <c r="J64" s="92" t="s">
        <v>199</v>
      </c>
      <c r="K64" s="92" t="s">
        <v>204</v>
      </c>
    </row>
    <row r="65" spans="1:11" s="91" customFormat="1" x14ac:dyDescent="0.25">
      <c r="A65" s="91" t="s">
        <v>206</v>
      </c>
      <c r="B65" s="91" t="s">
        <v>267</v>
      </c>
      <c r="C65" s="91" t="s">
        <v>217</v>
      </c>
      <c r="D65" s="92" t="s">
        <v>14</v>
      </c>
      <c r="E65" s="92" t="s">
        <v>14</v>
      </c>
      <c r="F65" s="92" t="s">
        <v>14</v>
      </c>
      <c r="G65" s="92" t="s">
        <v>14</v>
      </c>
      <c r="H65" s="92" t="s">
        <v>14</v>
      </c>
      <c r="I65" s="92" t="s">
        <v>15</v>
      </c>
      <c r="J65" s="92" t="s">
        <v>199</v>
      </c>
      <c r="K65" s="92" t="s">
        <v>204</v>
      </c>
    </row>
    <row r="66" spans="1:11" s="91" customFormat="1" x14ac:dyDescent="0.25">
      <c r="A66" s="91" t="s">
        <v>206</v>
      </c>
      <c r="B66" s="91" t="s">
        <v>267</v>
      </c>
      <c r="C66" s="91" t="s">
        <v>220</v>
      </c>
      <c r="D66" s="92" t="s">
        <v>14</v>
      </c>
      <c r="E66" s="92" t="s">
        <v>14</v>
      </c>
      <c r="F66" s="92" t="s">
        <v>14</v>
      </c>
      <c r="G66" s="92" t="s">
        <v>14</v>
      </c>
      <c r="H66" s="92" t="s">
        <v>14</v>
      </c>
      <c r="I66" s="92" t="s">
        <v>15</v>
      </c>
      <c r="J66" s="92" t="s">
        <v>199</v>
      </c>
      <c r="K66" s="92" t="s">
        <v>221</v>
      </c>
    </row>
    <row r="67" spans="1:11" s="91" customFormat="1" x14ac:dyDescent="0.25">
      <c r="A67" s="91" t="s">
        <v>206</v>
      </c>
      <c r="B67" s="91" t="s">
        <v>357</v>
      </c>
      <c r="C67" s="91" t="s">
        <v>364</v>
      </c>
      <c r="D67" s="92" t="s">
        <v>14</v>
      </c>
      <c r="E67" s="92" t="s">
        <v>14</v>
      </c>
      <c r="F67" s="92" t="s">
        <v>14</v>
      </c>
      <c r="G67" s="92" t="s">
        <v>13</v>
      </c>
      <c r="H67" s="92" t="s">
        <v>14</v>
      </c>
      <c r="I67" s="92" t="s">
        <v>15</v>
      </c>
      <c r="J67" s="92" t="s">
        <v>365</v>
      </c>
      <c r="K67" s="92" t="s">
        <v>366</v>
      </c>
    </row>
    <row r="68" spans="1:11" s="91" customFormat="1" x14ac:dyDescent="0.25">
      <c r="A68" s="91" t="s">
        <v>206</v>
      </c>
      <c r="B68" s="91" t="s">
        <v>430</v>
      </c>
      <c r="C68" s="93" t="s">
        <v>431</v>
      </c>
      <c r="D68" s="92" t="s">
        <v>14</v>
      </c>
      <c r="E68" s="92" t="s">
        <v>14</v>
      </c>
      <c r="F68" s="92" t="s">
        <v>14</v>
      </c>
      <c r="G68" s="92" t="s">
        <v>13</v>
      </c>
      <c r="H68" s="92" t="s">
        <v>13</v>
      </c>
      <c r="I68" s="92" t="s">
        <v>40</v>
      </c>
      <c r="J68" s="92"/>
      <c r="K68" s="92" t="s">
        <v>411</v>
      </c>
    </row>
    <row r="69" spans="1:11" s="91" customFormat="1" ht="45" x14ac:dyDescent="0.25">
      <c r="A69" s="91" t="s">
        <v>206</v>
      </c>
      <c r="B69" s="91" t="s">
        <v>430</v>
      </c>
      <c r="C69" s="93" t="s">
        <v>415</v>
      </c>
      <c r="D69" s="92" t="s">
        <v>13</v>
      </c>
      <c r="E69" s="92" t="s">
        <v>14</v>
      </c>
      <c r="F69" s="92" t="s">
        <v>13</v>
      </c>
      <c r="G69" s="92" t="s">
        <v>13</v>
      </c>
      <c r="H69" s="92" t="s">
        <v>14</v>
      </c>
      <c r="I69" s="92" t="s">
        <v>40</v>
      </c>
      <c r="J69" s="92"/>
      <c r="K69" s="92" t="s">
        <v>416</v>
      </c>
    </row>
    <row r="70" spans="1:11" s="91" customFormat="1" x14ac:dyDescent="0.25">
      <c r="A70" s="91" t="s">
        <v>206</v>
      </c>
      <c r="B70" s="91" t="s">
        <v>430</v>
      </c>
      <c r="C70" s="91" t="s">
        <v>420</v>
      </c>
      <c r="D70" s="92" t="s">
        <v>13</v>
      </c>
      <c r="E70" s="92" t="s">
        <v>14</v>
      </c>
      <c r="F70" s="92" t="s">
        <v>13</v>
      </c>
      <c r="G70" s="92" t="s">
        <v>13</v>
      </c>
      <c r="H70" s="92" t="s">
        <v>13</v>
      </c>
      <c r="I70" s="92" t="s">
        <v>40</v>
      </c>
      <c r="J70" s="92"/>
      <c r="K70" s="92" t="s">
        <v>421</v>
      </c>
    </row>
    <row r="71" spans="1:11" s="91" customFormat="1" x14ac:dyDescent="0.25">
      <c r="A71" s="91" t="s">
        <v>206</v>
      </c>
      <c r="B71" s="91" t="s">
        <v>512</v>
      </c>
      <c r="C71" s="91" t="s">
        <v>498</v>
      </c>
      <c r="D71" s="92" t="s">
        <v>13</v>
      </c>
      <c r="E71" s="92" t="s">
        <v>14</v>
      </c>
      <c r="F71" s="92" t="s">
        <v>14</v>
      </c>
      <c r="G71" s="92" t="s">
        <v>14</v>
      </c>
      <c r="H71" s="92" t="s">
        <v>14</v>
      </c>
      <c r="I71" s="92" t="s">
        <v>40</v>
      </c>
      <c r="J71" s="92"/>
      <c r="K71" s="92"/>
    </row>
    <row r="72" spans="1:11" s="91" customFormat="1" x14ac:dyDescent="0.25">
      <c r="A72" s="91" t="s">
        <v>206</v>
      </c>
      <c r="B72" s="91" t="s">
        <v>512</v>
      </c>
      <c r="C72" s="91" t="s">
        <v>499</v>
      </c>
      <c r="D72" s="92" t="s">
        <v>13</v>
      </c>
      <c r="E72" s="92" t="s">
        <v>14</v>
      </c>
      <c r="F72" s="92" t="s">
        <v>14</v>
      </c>
      <c r="G72" s="92" t="s">
        <v>14</v>
      </c>
      <c r="H72" s="92" t="s">
        <v>14</v>
      </c>
      <c r="I72" s="92" t="s">
        <v>256</v>
      </c>
      <c r="J72" s="92"/>
      <c r="K72" s="92"/>
    </row>
    <row r="73" spans="1:11" s="56" customFormat="1" x14ac:dyDescent="0.25">
      <c r="A73" s="56" t="s">
        <v>60</v>
      </c>
      <c r="B73" s="56" t="s">
        <v>69</v>
      </c>
      <c r="C73" s="56" t="s">
        <v>59</v>
      </c>
      <c r="D73" s="68" t="s">
        <v>13</v>
      </c>
      <c r="E73" s="68" t="s">
        <v>14</v>
      </c>
      <c r="F73" s="68" t="s">
        <v>14</v>
      </c>
      <c r="G73" s="68" t="s">
        <v>14</v>
      </c>
      <c r="H73" s="68" t="s">
        <v>14</v>
      </c>
      <c r="I73" s="68" t="s">
        <v>15</v>
      </c>
      <c r="J73" s="68" t="s">
        <v>61</v>
      </c>
      <c r="K73" s="68" t="s">
        <v>62</v>
      </c>
    </row>
    <row r="74" spans="1:11" s="56" customFormat="1" x14ac:dyDescent="0.25">
      <c r="A74" s="56" t="s">
        <v>60</v>
      </c>
      <c r="B74" s="56" t="s">
        <v>69</v>
      </c>
      <c r="C74" s="56" t="s">
        <v>66</v>
      </c>
      <c r="D74" s="68" t="s">
        <v>13</v>
      </c>
      <c r="E74" s="68" t="s">
        <v>13</v>
      </c>
      <c r="F74" s="68" t="s">
        <v>13</v>
      </c>
      <c r="G74" s="68" t="s">
        <v>14</v>
      </c>
      <c r="H74" s="68" t="s">
        <v>14</v>
      </c>
      <c r="I74" s="68" t="s">
        <v>15</v>
      </c>
      <c r="J74" s="68" t="s">
        <v>67</v>
      </c>
      <c r="K74" s="68" t="s">
        <v>68</v>
      </c>
    </row>
    <row r="75" spans="1:11" s="56" customFormat="1" x14ac:dyDescent="0.25">
      <c r="A75" s="56" t="s">
        <v>60</v>
      </c>
      <c r="B75" s="56" t="s">
        <v>117</v>
      </c>
      <c r="C75" s="56" t="s">
        <v>38</v>
      </c>
      <c r="D75" s="68" t="s">
        <v>14</v>
      </c>
      <c r="E75" s="68" t="s">
        <v>14</v>
      </c>
      <c r="F75" s="68" t="s">
        <v>13</v>
      </c>
      <c r="G75" s="68" t="s">
        <v>14</v>
      </c>
      <c r="H75" s="68" t="s">
        <v>13</v>
      </c>
      <c r="I75" s="68" t="s">
        <v>40</v>
      </c>
      <c r="J75" s="68" t="s">
        <v>111</v>
      </c>
      <c r="K75" s="68" t="s">
        <v>77</v>
      </c>
    </row>
    <row r="76" spans="1:11" s="56" customFormat="1" x14ac:dyDescent="0.25">
      <c r="A76" s="56" t="s">
        <v>60</v>
      </c>
      <c r="B76" s="56" t="s">
        <v>267</v>
      </c>
      <c r="C76" s="56" t="s">
        <v>222</v>
      </c>
      <c r="D76" s="68" t="s">
        <v>14</v>
      </c>
      <c r="E76" s="68" t="s">
        <v>13</v>
      </c>
      <c r="F76" s="68" t="s">
        <v>14</v>
      </c>
      <c r="G76" s="68" t="s">
        <v>13</v>
      </c>
      <c r="H76" s="68" t="s">
        <v>14</v>
      </c>
      <c r="I76" s="68" t="s">
        <v>15</v>
      </c>
      <c r="J76" s="68" t="s">
        <v>199</v>
      </c>
      <c r="K76" s="68"/>
    </row>
    <row r="77" spans="1:11" s="56" customFormat="1" x14ac:dyDescent="0.25">
      <c r="A77" s="56" t="s">
        <v>60</v>
      </c>
      <c r="B77" s="56" t="s">
        <v>355</v>
      </c>
      <c r="C77" s="94" t="s">
        <v>351</v>
      </c>
      <c r="D77" s="68" t="s">
        <v>306</v>
      </c>
      <c r="E77" s="68" t="s">
        <v>303</v>
      </c>
      <c r="F77" s="68" t="s">
        <v>43</v>
      </c>
      <c r="G77" s="68" t="s">
        <v>306</v>
      </c>
      <c r="H77" s="68" t="s">
        <v>306</v>
      </c>
      <c r="I77" s="68" t="s">
        <v>15</v>
      </c>
      <c r="J77" s="68" t="s">
        <v>337</v>
      </c>
      <c r="K77" s="68" t="s">
        <v>352</v>
      </c>
    </row>
    <row r="78" spans="1:11" s="56" customFormat="1" x14ac:dyDescent="0.25">
      <c r="A78" s="56" t="s">
        <v>60</v>
      </c>
      <c r="B78" s="56" t="s">
        <v>469</v>
      </c>
      <c r="C78" s="56" t="s">
        <v>473</v>
      </c>
      <c r="D78" s="68" t="s">
        <v>13</v>
      </c>
      <c r="E78" s="68" t="s">
        <v>14</v>
      </c>
      <c r="F78" s="68" t="s">
        <v>14</v>
      </c>
      <c r="G78" s="68" t="s">
        <v>13</v>
      </c>
      <c r="H78" s="68" t="s">
        <v>14</v>
      </c>
      <c r="I78" s="68" t="s">
        <v>15</v>
      </c>
      <c r="J78" s="68" t="s">
        <v>474</v>
      </c>
      <c r="K78" s="68" t="s">
        <v>475</v>
      </c>
    </row>
    <row r="79" spans="1:11" s="56" customFormat="1" x14ac:dyDescent="0.25">
      <c r="A79" s="56" t="s">
        <v>60</v>
      </c>
      <c r="B79" s="56" t="s">
        <v>469</v>
      </c>
      <c r="C79" s="56" t="s">
        <v>476</v>
      </c>
      <c r="D79" s="68" t="s">
        <v>14</v>
      </c>
      <c r="E79" s="68" t="s">
        <v>14</v>
      </c>
      <c r="F79" s="68" t="s">
        <v>14</v>
      </c>
      <c r="G79" s="68" t="s">
        <v>14</v>
      </c>
      <c r="H79" s="68" t="s">
        <v>14</v>
      </c>
      <c r="I79" s="68" t="s">
        <v>15</v>
      </c>
      <c r="J79" s="68" t="s">
        <v>477</v>
      </c>
      <c r="K79" s="68" t="s">
        <v>478</v>
      </c>
    </row>
    <row r="80" spans="1:11" s="56" customFormat="1" x14ac:dyDescent="0.25">
      <c r="A80" s="56" t="s">
        <v>60</v>
      </c>
      <c r="B80" s="56" t="s">
        <v>469</v>
      </c>
      <c r="C80" s="56" t="s">
        <v>479</v>
      </c>
      <c r="D80" s="68" t="s">
        <v>13</v>
      </c>
      <c r="E80" s="68" t="s">
        <v>14</v>
      </c>
      <c r="F80" s="68" t="s">
        <v>14</v>
      </c>
      <c r="G80" s="68" t="s">
        <v>14</v>
      </c>
      <c r="H80" s="68" t="s">
        <v>14</v>
      </c>
      <c r="I80" s="68" t="s">
        <v>15</v>
      </c>
      <c r="J80" s="68" t="s">
        <v>480</v>
      </c>
      <c r="K80" s="68" t="s">
        <v>481</v>
      </c>
    </row>
    <row r="81" spans="1:11" s="56" customFormat="1" x14ac:dyDescent="0.25">
      <c r="A81" s="56" t="s">
        <v>60</v>
      </c>
      <c r="B81" s="56" t="s">
        <v>469</v>
      </c>
      <c r="C81" s="56" t="s">
        <v>482</v>
      </c>
      <c r="D81" s="68" t="s">
        <v>13</v>
      </c>
      <c r="E81" s="68" t="s">
        <v>14</v>
      </c>
      <c r="F81" s="68" t="s">
        <v>14</v>
      </c>
      <c r="G81" s="68" t="s">
        <v>13</v>
      </c>
      <c r="H81" s="68" t="s">
        <v>14</v>
      </c>
      <c r="I81" s="68" t="s">
        <v>15</v>
      </c>
      <c r="J81" s="68" t="s">
        <v>483</v>
      </c>
      <c r="K81" s="68" t="s">
        <v>484</v>
      </c>
    </row>
    <row r="82" spans="1:11" s="56" customFormat="1" x14ac:dyDescent="0.25">
      <c r="A82" s="56" t="s">
        <v>60</v>
      </c>
      <c r="B82" s="56" t="s">
        <v>469</v>
      </c>
      <c r="C82" s="56" t="s">
        <v>485</v>
      </c>
      <c r="D82" s="68" t="s">
        <v>13</v>
      </c>
      <c r="E82" s="68" t="s">
        <v>14</v>
      </c>
      <c r="F82" s="68" t="s">
        <v>14</v>
      </c>
      <c r="G82" s="68" t="s">
        <v>13</v>
      </c>
      <c r="H82" s="68" t="s">
        <v>14</v>
      </c>
      <c r="I82" s="68" t="s">
        <v>15</v>
      </c>
      <c r="J82" s="68" t="s">
        <v>486</v>
      </c>
      <c r="K82" s="68" t="s">
        <v>487</v>
      </c>
    </row>
    <row r="83" spans="1:11" s="56" customFormat="1" x14ac:dyDescent="0.25">
      <c r="A83" s="56" t="s">
        <v>60</v>
      </c>
      <c r="B83" s="56" t="s">
        <v>469</v>
      </c>
      <c r="C83" s="56" t="s">
        <v>488</v>
      </c>
      <c r="D83" s="68" t="s">
        <v>13</v>
      </c>
      <c r="E83" s="68" t="s">
        <v>14</v>
      </c>
      <c r="F83" s="68" t="s">
        <v>14</v>
      </c>
      <c r="G83" s="68" t="s">
        <v>13</v>
      </c>
      <c r="H83" s="68" t="s">
        <v>14</v>
      </c>
      <c r="I83" s="68" t="s">
        <v>15</v>
      </c>
      <c r="J83" s="68" t="s">
        <v>483</v>
      </c>
      <c r="K83" s="68" t="s">
        <v>489</v>
      </c>
    </row>
    <row r="84" spans="1:11" s="56" customFormat="1" x14ac:dyDescent="0.25">
      <c r="A84" s="56" t="s">
        <v>60</v>
      </c>
      <c r="B84" s="56" t="s">
        <v>469</v>
      </c>
      <c r="C84" s="56" t="s">
        <v>490</v>
      </c>
      <c r="D84" s="68" t="s">
        <v>13</v>
      </c>
      <c r="E84" s="68" t="s">
        <v>14</v>
      </c>
      <c r="F84" s="68" t="s">
        <v>14</v>
      </c>
      <c r="G84" s="68" t="s">
        <v>13</v>
      </c>
      <c r="H84" s="68" t="s">
        <v>14</v>
      </c>
      <c r="I84" s="68" t="s">
        <v>15</v>
      </c>
      <c r="J84" s="68" t="s">
        <v>486</v>
      </c>
      <c r="K84" s="68" t="s">
        <v>489</v>
      </c>
    </row>
    <row r="85" spans="1:11" s="56" customFormat="1" x14ac:dyDescent="0.25">
      <c r="A85" s="56" t="s">
        <v>60</v>
      </c>
      <c r="B85" s="56" t="s">
        <v>495</v>
      </c>
      <c r="C85" s="56" t="s">
        <v>496</v>
      </c>
      <c r="D85" s="68" t="s">
        <v>13</v>
      </c>
      <c r="E85" s="68" t="s">
        <v>497</v>
      </c>
      <c r="F85" s="68" t="s">
        <v>497</v>
      </c>
      <c r="G85" s="68" t="s">
        <v>14</v>
      </c>
      <c r="H85" s="68" t="s">
        <v>14</v>
      </c>
      <c r="I85" s="68" t="s">
        <v>15</v>
      </c>
      <c r="J85" s="68"/>
      <c r="K85" s="68"/>
    </row>
    <row r="86" spans="1:11" s="49" customFormat="1" x14ac:dyDescent="0.25">
      <c r="A86" s="49" t="s">
        <v>176</v>
      </c>
      <c r="B86" s="49" t="s">
        <v>186</v>
      </c>
      <c r="C86" s="49" t="s">
        <v>175</v>
      </c>
      <c r="D86" s="81" t="s">
        <v>14</v>
      </c>
      <c r="E86" s="81" t="s">
        <v>14</v>
      </c>
      <c r="F86" s="81" t="s">
        <v>177</v>
      </c>
      <c r="G86" s="81" t="s">
        <v>14</v>
      </c>
      <c r="H86" s="81" t="s">
        <v>13</v>
      </c>
      <c r="I86" s="81" t="s">
        <v>15</v>
      </c>
      <c r="J86" s="81" t="s">
        <v>178</v>
      </c>
      <c r="K86" s="81" t="s">
        <v>179</v>
      </c>
    </row>
    <row r="87" spans="1:11" s="49" customFormat="1" x14ac:dyDescent="0.25">
      <c r="A87" s="49" t="s">
        <v>176</v>
      </c>
      <c r="B87" s="49" t="s">
        <v>186</v>
      </c>
      <c r="C87" s="49" t="s">
        <v>180</v>
      </c>
      <c r="D87" s="81" t="s">
        <v>14</v>
      </c>
      <c r="E87" s="81" t="s">
        <v>14</v>
      </c>
      <c r="F87" s="81" t="s">
        <v>14</v>
      </c>
      <c r="G87" s="81" t="s">
        <v>14</v>
      </c>
      <c r="H87" s="81" t="s">
        <v>13</v>
      </c>
      <c r="I87" s="81" t="s">
        <v>15</v>
      </c>
      <c r="J87" s="81" t="s">
        <v>181</v>
      </c>
      <c r="K87" s="81" t="s">
        <v>182</v>
      </c>
    </row>
    <row r="88" spans="1:11" s="49" customFormat="1" x14ac:dyDescent="0.25">
      <c r="A88" s="49" t="s">
        <v>176</v>
      </c>
      <c r="B88" s="49" t="s">
        <v>267</v>
      </c>
      <c r="C88" s="49" t="s">
        <v>203</v>
      </c>
      <c r="D88" s="81" t="s">
        <v>14</v>
      </c>
      <c r="E88" s="81" t="s">
        <v>14</v>
      </c>
      <c r="F88" s="81" t="s">
        <v>14</v>
      </c>
      <c r="G88" s="81" t="s">
        <v>14</v>
      </c>
      <c r="H88" s="81" t="s">
        <v>14</v>
      </c>
      <c r="I88" s="81" t="s">
        <v>15</v>
      </c>
      <c r="J88" s="81" t="s">
        <v>199</v>
      </c>
      <c r="K88" s="81" t="s">
        <v>204</v>
      </c>
    </row>
    <row r="89" spans="1:11" s="49" customFormat="1" x14ac:dyDescent="0.25">
      <c r="A89" s="49" t="s">
        <v>176</v>
      </c>
      <c r="B89" s="49" t="s">
        <v>267</v>
      </c>
      <c r="C89" s="49" t="s">
        <v>208</v>
      </c>
      <c r="D89" s="81" t="s">
        <v>14</v>
      </c>
      <c r="E89" s="81" t="s">
        <v>14</v>
      </c>
      <c r="F89" s="81" t="s">
        <v>14</v>
      </c>
      <c r="G89" s="81" t="s">
        <v>14</v>
      </c>
      <c r="H89" s="81" t="s">
        <v>14</v>
      </c>
      <c r="I89" s="81" t="s">
        <v>15</v>
      </c>
      <c r="J89" s="81" t="s">
        <v>199</v>
      </c>
      <c r="K89" s="81"/>
    </row>
    <row r="90" spans="1:11" s="49" customFormat="1" x14ac:dyDescent="0.25">
      <c r="A90" s="49" t="s">
        <v>176</v>
      </c>
      <c r="B90" s="49" t="s">
        <v>267</v>
      </c>
      <c r="C90" s="49" t="s">
        <v>216</v>
      </c>
      <c r="D90" s="81" t="s">
        <v>14</v>
      </c>
      <c r="E90" s="81" t="s">
        <v>14</v>
      </c>
      <c r="F90" s="81" t="s">
        <v>14</v>
      </c>
      <c r="G90" s="81" t="s">
        <v>14</v>
      </c>
      <c r="H90" s="81" t="s">
        <v>14</v>
      </c>
      <c r="I90" s="81" t="s">
        <v>15</v>
      </c>
      <c r="J90" s="81" t="s">
        <v>199</v>
      </c>
      <c r="K90" s="81" t="s">
        <v>204</v>
      </c>
    </row>
    <row r="91" spans="1:11" s="49" customFormat="1" x14ac:dyDescent="0.25">
      <c r="A91" s="49" t="s">
        <v>176</v>
      </c>
      <c r="B91" s="49" t="s">
        <v>267</v>
      </c>
      <c r="C91" s="49" t="s">
        <v>219</v>
      </c>
      <c r="D91" s="81" t="s">
        <v>14</v>
      </c>
      <c r="E91" s="81" t="s">
        <v>14</v>
      </c>
      <c r="F91" s="81" t="s">
        <v>14</v>
      </c>
      <c r="G91" s="81" t="s">
        <v>14</v>
      </c>
      <c r="H91" s="81" t="s">
        <v>14</v>
      </c>
      <c r="I91" s="81" t="s">
        <v>15</v>
      </c>
      <c r="J91" s="81" t="s">
        <v>199</v>
      </c>
      <c r="K91" s="81"/>
    </row>
    <row r="92" spans="1:11" s="49" customFormat="1" x14ac:dyDescent="0.25">
      <c r="A92" s="49" t="s">
        <v>176</v>
      </c>
      <c r="B92" s="49" t="s">
        <v>267</v>
      </c>
      <c r="C92" s="49" t="s">
        <v>238</v>
      </c>
      <c r="D92" s="81" t="s">
        <v>14</v>
      </c>
      <c r="E92" s="81" t="s">
        <v>14</v>
      </c>
      <c r="F92" s="81" t="s">
        <v>13</v>
      </c>
      <c r="G92" s="81" t="s">
        <v>14</v>
      </c>
      <c r="H92" s="81" t="s">
        <v>14</v>
      </c>
      <c r="I92" s="81" t="s">
        <v>15</v>
      </c>
      <c r="J92" s="81"/>
      <c r="K92" s="81"/>
    </row>
    <row r="93" spans="1:11" s="49" customFormat="1" x14ac:dyDescent="0.25">
      <c r="A93" s="49" t="s">
        <v>176</v>
      </c>
      <c r="B93" s="49" t="s">
        <v>267</v>
      </c>
      <c r="C93" s="49" t="s">
        <v>251</v>
      </c>
      <c r="D93" s="81" t="s">
        <v>13</v>
      </c>
      <c r="E93" s="81" t="s">
        <v>13</v>
      </c>
      <c r="F93" s="81" t="s">
        <v>13</v>
      </c>
      <c r="G93" s="81" t="s">
        <v>14</v>
      </c>
      <c r="H93" s="81" t="s">
        <v>13</v>
      </c>
      <c r="I93" s="81" t="s">
        <v>15</v>
      </c>
      <c r="J93" s="81"/>
      <c r="K93" s="81"/>
    </row>
    <row r="94" spans="1:11" s="49" customFormat="1" x14ac:dyDescent="0.25">
      <c r="A94" s="49" t="s">
        <v>176</v>
      </c>
      <c r="B94" s="49" t="s">
        <v>267</v>
      </c>
      <c r="C94" s="49" t="s">
        <v>255</v>
      </c>
      <c r="D94" s="81" t="s">
        <v>14</v>
      </c>
      <c r="E94" s="81" t="s">
        <v>253</v>
      </c>
      <c r="F94" s="81" t="s">
        <v>14</v>
      </c>
      <c r="G94" s="81" t="s">
        <v>14</v>
      </c>
      <c r="H94" s="81" t="s">
        <v>253</v>
      </c>
      <c r="I94" s="81" t="s">
        <v>256</v>
      </c>
      <c r="J94" s="81"/>
      <c r="K94" s="81"/>
    </row>
    <row r="95" spans="1:11" s="49" customFormat="1" x14ac:dyDescent="0.25">
      <c r="A95" s="49" t="s">
        <v>176</v>
      </c>
      <c r="B95" s="49" t="s">
        <v>267</v>
      </c>
      <c r="C95" s="49" t="s">
        <v>257</v>
      </c>
      <c r="D95" s="81" t="s">
        <v>14</v>
      </c>
      <c r="E95" s="81" t="s">
        <v>253</v>
      </c>
      <c r="F95" s="81" t="s">
        <v>14</v>
      </c>
      <c r="G95" s="81" t="s">
        <v>14</v>
      </c>
      <c r="H95" s="81" t="s">
        <v>253</v>
      </c>
      <c r="I95" s="81" t="s">
        <v>256</v>
      </c>
      <c r="J95" s="81"/>
      <c r="K95" s="81"/>
    </row>
    <row r="96" spans="1:11" s="49" customFormat="1" x14ac:dyDescent="0.25">
      <c r="A96" s="49" t="s">
        <v>176</v>
      </c>
      <c r="B96" s="49" t="s">
        <v>267</v>
      </c>
      <c r="C96" s="49" t="s">
        <v>262</v>
      </c>
      <c r="D96" s="81" t="s">
        <v>14</v>
      </c>
      <c r="E96" s="81" t="s">
        <v>13</v>
      </c>
      <c r="F96" s="81" t="s">
        <v>13</v>
      </c>
      <c r="G96" s="81" t="s">
        <v>14</v>
      </c>
      <c r="H96" s="81" t="s">
        <v>13</v>
      </c>
      <c r="I96" s="81" t="s">
        <v>40</v>
      </c>
      <c r="J96" s="81"/>
      <c r="K96" s="81" t="s">
        <v>263</v>
      </c>
    </row>
    <row r="97" spans="1:11" s="49" customFormat="1" x14ac:dyDescent="0.25">
      <c r="A97" s="49" t="s">
        <v>176</v>
      </c>
      <c r="B97" s="49" t="s">
        <v>355</v>
      </c>
      <c r="C97" s="97" t="s">
        <v>346</v>
      </c>
      <c r="D97" s="81" t="s">
        <v>306</v>
      </c>
      <c r="E97" s="81" t="s">
        <v>306</v>
      </c>
      <c r="F97" s="81" t="s">
        <v>43</v>
      </c>
      <c r="G97" s="81" t="s">
        <v>43</v>
      </c>
      <c r="H97" s="81" t="s">
        <v>306</v>
      </c>
      <c r="I97" s="81" t="s">
        <v>15</v>
      </c>
      <c r="J97" s="81"/>
      <c r="K97" s="81" t="s">
        <v>347</v>
      </c>
    </row>
    <row r="98" spans="1:11" s="49" customFormat="1" x14ac:dyDescent="0.25">
      <c r="A98" s="49" t="s">
        <v>176</v>
      </c>
      <c r="B98" s="49" t="s">
        <v>430</v>
      </c>
      <c r="C98" s="49" t="s">
        <v>406</v>
      </c>
      <c r="D98" s="81" t="s">
        <v>13</v>
      </c>
      <c r="E98" s="81" t="s">
        <v>14</v>
      </c>
      <c r="F98" s="81" t="s">
        <v>14</v>
      </c>
      <c r="G98" s="81" t="s">
        <v>13</v>
      </c>
      <c r="H98" s="81" t="s">
        <v>14</v>
      </c>
      <c r="I98" s="81" t="s">
        <v>15</v>
      </c>
      <c r="J98" s="81" t="s">
        <v>407</v>
      </c>
      <c r="K98" s="81" t="s">
        <v>408</v>
      </c>
    </row>
    <row r="99" spans="1:11" s="49" customFormat="1" x14ac:dyDescent="0.25">
      <c r="A99" s="49" t="s">
        <v>176</v>
      </c>
      <c r="B99" s="49" t="s">
        <v>442</v>
      </c>
      <c r="C99" s="49" t="s">
        <v>435</v>
      </c>
      <c r="D99" s="81"/>
      <c r="E99" s="81" t="s">
        <v>14</v>
      </c>
      <c r="F99" s="81" t="s">
        <v>14</v>
      </c>
      <c r="G99" s="81" t="s">
        <v>14</v>
      </c>
      <c r="H99" s="81" t="s">
        <v>14</v>
      </c>
      <c r="I99" s="81" t="s">
        <v>403</v>
      </c>
      <c r="J99" s="81"/>
      <c r="K99" s="81"/>
    </row>
    <row r="100" spans="1:11" s="49" customFormat="1" x14ac:dyDescent="0.25">
      <c r="A100" s="49" t="s">
        <v>176</v>
      </c>
      <c r="B100" s="49" t="s">
        <v>512</v>
      </c>
      <c r="C100" s="49" t="s">
        <v>502</v>
      </c>
      <c r="D100" s="81" t="s">
        <v>253</v>
      </c>
      <c r="E100" s="81" t="s">
        <v>14</v>
      </c>
      <c r="F100" s="81" t="s">
        <v>13</v>
      </c>
      <c r="G100" s="81" t="s">
        <v>13</v>
      </c>
      <c r="H100" s="81" t="s">
        <v>13</v>
      </c>
      <c r="I100" s="81" t="s">
        <v>256</v>
      </c>
      <c r="J100" s="81"/>
      <c r="K100" s="81"/>
    </row>
    <row r="101" spans="1:11" s="49" customFormat="1" x14ac:dyDescent="0.25">
      <c r="A101" s="49" t="s">
        <v>176</v>
      </c>
      <c r="B101" s="49" t="s">
        <v>513</v>
      </c>
      <c r="C101" s="49" t="s">
        <v>584</v>
      </c>
      <c r="D101" s="81" t="s">
        <v>253</v>
      </c>
      <c r="E101" s="81"/>
      <c r="F101" s="81" t="s">
        <v>14</v>
      </c>
      <c r="G101" s="81" t="s">
        <v>14</v>
      </c>
      <c r="H101" s="81" t="s">
        <v>14</v>
      </c>
      <c r="I101" s="81" t="s">
        <v>582</v>
      </c>
      <c r="J101" s="81"/>
      <c r="K101" s="81" t="s">
        <v>585</v>
      </c>
    </row>
    <row r="102" spans="1:11" s="49" customFormat="1" x14ac:dyDescent="0.25">
      <c r="A102" s="49" t="s">
        <v>176</v>
      </c>
      <c r="B102" s="49" t="s">
        <v>588</v>
      </c>
      <c r="C102" s="49" t="s">
        <v>601</v>
      </c>
      <c r="D102" s="81" t="s">
        <v>13</v>
      </c>
      <c r="E102" s="81" t="s">
        <v>13</v>
      </c>
      <c r="F102" s="81" t="s">
        <v>13</v>
      </c>
      <c r="G102" s="81"/>
      <c r="H102" s="81" t="s">
        <v>13</v>
      </c>
      <c r="I102" s="81" t="s">
        <v>15</v>
      </c>
      <c r="J102" s="81" t="s">
        <v>602</v>
      </c>
      <c r="K102" s="81" t="s">
        <v>603</v>
      </c>
    </row>
    <row r="103" spans="1:11" s="57" customFormat="1" x14ac:dyDescent="0.25">
      <c r="A103" s="57" t="s">
        <v>134</v>
      </c>
      <c r="B103" s="57" t="s">
        <v>142</v>
      </c>
      <c r="C103" s="57" t="s">
        <v>133</v>
      </c>
      <c r="D103" s="82" t="s">
        <v>13</v>
      </c>
      <c r="E103" s="82" t="s">
        <v>14</v>
      </c>
      <c r="F103" s="82" t="s">
        <v>14</v>
      </c>
      <c r="G103" s="82" t="s">
        <v>13</v>
      </c>
      <c r="H103" s="82" t="s">
        <v>14</v>
      </c>
      <c r="I103" s="82" t="s">
        <v>15</v>
      </c>
      <c r="J103" s="82" t="s">
        <v>135</v>
      </c>
      <c r="K103" s="82"/>
    </row>
    <row r="104" spans="1:11" s="57" customFormat="1" x14ac:dyDescent="0.25">
      <c r="A104" s="57" t="s">
        <v>134</v>
      </c>
      <c r="B104" s="57" t="s">
        <v>267</v>
      </c>
      <c r="C104" s="57" t="s">
        <v>201</v>
      </c>
      <c r="D104" s="82" t="s">
        <v>14</v>
      </c>
      <c r="E104" s="82" t="s">
        <v>14</v>
      </c>
      <c r="F104" s="82" t="s">
        <v>14</v>
      </c>
      <c r="G104" s="82" t="s">
        <v>14</v>
      </c>
      <c r="H104" s="82" t="s">
        <v>14</v>
      </c>
      <c r="I104" s="82" t="s">
        <v>15</v>
      </c>
      <c r="J104" s="82" t="s">
        <v>199</v>
      </c>
      <c r="K104" s="82" t="s">
        <v>202</v>
      </c>
    </row>
    <row r="105" spans="1:11" s="57" customFormat="1" x14ac:dyDescent="0.25">
      <c r="A105" s="57" t="s">
        <v>134</v>
      </c>
      <c r="B105" s="57" t="s">
        <v>267</v>
      </c>
      <c r="C105" s="57" t="s">
        <v>239</v>
      </c>
      <c r="D105" s="82" t="s">
        <v>13</v>
      </c>
      <c r="E105" s="82" t="s">
        <v>14</v>
      </c>
      <c r="F105" s="82" t="s">
        <v>14</v>
      </c>
      <c r="G105" s="82" t="s">
        <v>14</v>
      </c>
      <c r="H105" s="82" t="s">
        <v>14</v>
      </c>
      <c r="I105" s="82" t="s">
        <v>15</v>
      </c>
      <c r="J105" s="82" t="s">
        <v>240</v>
      </c>
      <c r="K105" s="82" t="s">
        <v>241</v>
      </c>
    </row>
    <row r="106" spans="1:11" s="98" customFormat="1" x14ac:dyDescent="0.25">
      <c r="A106" s="98" t="s">
        <v>243</v>
      </c>
      <c r="B106" s="98" t="s">
        <v>267</v>
      </c>
      <c r="C106" s="98" t="s">
        <v>242</v>
      </c>
      <c r="D106" s="99" t="s">
        <v>14</v>
      </c>
      <c r="E106" s="99" t="s">
        <v>13</v>
      </c>
      <c r="F106" s="99" t="s">
        <v>13</v>
      </c>
      <c r="G106" s="99" t="s">
        <v>14</v>
      </c>
      <c r="H106" s="99" t="s">
        <v>14</v>
      </c>
      <c r="I106" s="99" t="s">
        <v>15</v>
      </c>
      <c r="J106" s="99"/>
      <c r="K106" s="99" t="s">
        <v>244</v>
      </c>
    </row>
    <row r="107" spans="1:11" s="98" customFormat="1" x14ac:dyDescent="0.25">
      <c r="A107" s="98" t="s">
        <v>243</v>
      </c>
      <c r="B107" s="98" t="s">
        <v>267</v>
      </c>
      <c r="C107" s="98" t="s">
        <v>245</v>
      </c>
      <c r="D107" s="99" t="s">
        <v>13</v>
      </c>
      <c r="E107" s="99" t="s">
        <v>13</v>
      </c>
      <c r="F107" s="99" t="s">
        <v>14</v>
      </c>
      <c r="G107" s="99" t="s">
        <v>14</v>
      </c>
      <c r="H107" s="99" t="s">
        <v>14</v>
      </c>
      <c r="I107" s="99" t="s">
        <v>15</v>
      </c>
      <c r="J107" s="99"/>
      <c r="K107" s="99" t="s">
        <v>246</v>
      </c>
    </row>
    <row r="108" spans="1:11" s="98" customFormat="1" x14ac:dyDescent="0.25">
      <c r="A108" s="98" t="s">
        <v>243</v>
      </c>
      <c r="B108" s="98" t="s">
        <v>267</v>
      </c>
      <c r="C108" s="98" t="s">
        <v>252</v>
      </c>
      <c r="D108" s="99" t="s">
        <v>253</v>
      </c>
      <c r="E108" s="99" t="s">
        <v>253</v>
      </c>
      <c r="F108" s="99" t="s">
        <v>253</v>
      </c>
      <c r="G108" s="99" t="s">
        <v>14</v>
      </c>
      <c r="H108" s="99" t="s">
        <v>253</v>
      </c>
      <c r="I108" s="99" t="s">
        <v>40</v>
      </c>
      <c r="J108" s="99"/>
      <c r="K108" s="99" t="s">
        <v>254</v>
      </c>
    </row>
    <row r="109" spans="1:11" s="98" customFormat="1" x14ac:dyDescent="0.25">
      <c r="A109" s="98" t="s">
        <v>243</v>
      </c>
      <c r="B109" s="98" t="s">
        <v>267</v>
      </c>
      <c r="C109" s="98" t="s">
        <v>258</v>
      </c>
      <c r="D109" s="99" t="s">
        <v>14</v>
      </c>
      <c r="E109" s="99" t="s">
        <v>253</v>
      </c>
      <c r="F109" s="99" t="s">
        <v>14</v>
      </c>
      <c r="G109" s="99" t="s">
        <v>14</v>
      </c>
      <c r="H109" s="99" t="s">
        <v>253</v>
      </c>
      <c r="I109" s="99" t="s">
        <v>256</v>
      </c>
      <c r="J109" s="99"/>
      <c r="K109" s="99"/>
    </row>
    <row r="110" spans="1:11" s="98" customFormat="1" x14ac:dyDescent="0.25">
      <c r="A110" s="98" t="s">
        <v>243</v>
      </c>
      <c r="B110" s="98" t="s">
        <v>267</v>
      </c>
      <c r="C110" s="98" t="s">
        <v>259</v>
      </c>
      <c r="D110" s="99" t="s">
        <v>13</v>
      </c>
      <c r="E110" s="99" t="s">
        <v>14</v>
      </c>
      <c r="F110" s="99" t="s">
        <v>14</v>
      </c>
      <c r="G110" s="99" t="s">
        <v>14</v>
      </c>
      <c r="H110" s="99" t="s">
        <v>13</v>
      </c>
      <c r="I110" s="99" t="s">
        <v>40</v>
      </c>
      <c r="J110" s="99"/>
      <c r="K110" s="99"/>
    </row>
    <row r="111" spans="1:11" s="98" customFormat="1" x14ac:dyDescent="0.25">
      <c r="A111" s="98" t="s">
        <v>243</v>
      </c>
      <c r="B111" s="98" t="s">
        <v>267</v>
      </c>
      <c r="C111" s="98" t="s">
        <v>260</v>
      </c>
      <c r="D111" s="99" t="s">
        <v>253</v>
      </c>
      <c r="E111" s="99" t="s">
        <v>253</v>
      </c>
      <c r="F111" s="99" t="s">
        <v>253</v>
      </c>
      <c r="G111" s="99" t="s">
        <v>14</v>
      </c>
      <c r="H111" s="99" t="s">
        <v>253</v>
      </c>
      <c r="I111" s="99" t="s">
        <v>256</v>
      </c>
      <c r="J111" s="99"/>
      <c r="K111" s="99"/>
    </row>
    <row r="112" spans="1:11" s="98" customFormat="1" x14ac:dyDescent="0.25">
      <c r="A112" s="98" t="s">
        <v>243</v>
      </c>
      <c r="B112" s="98" t="s">
        <v>267</v>
      </c>
      <c r="C112" s="98" t="s">
        <v>261</v>
      </c>
      <c r="D112" s="99" t="s">
        <v>13</v>
      </c>
      <c r="E112" s="99" t="s">
        <v>13</v>
      </c>
      <c r="F112" s="99" t="s">
        <v>13</v>
      </c>
      <c r="G112" s="99" t="s">
        <v>14</v>
      </c>
      <c r="H112" s="99" t="s">
        <v>13</v>
      </c>
      <c r="I112" s="99" t="s">
        <v>40</v>
      </c>
      <c r="J112" s="99"/>
      <c r="K112" s="99"/>
    </row>
    <row r="113" spans="1:11" s="98" customFormat="1" x14ac:dyDescent="0.25">
      <c r="A113" s="98" t="s">
        <v>243</v>
      </c>
      <c r="B113" s="98" t="s">
        <v>267</v>
      </c>
      <c r="C113" s="98" t="s">
        <v>264</v>
      </c>
      <c r="D113" s="99" t="s">
        <v>14</v>
      </c>
      <c r="E113" s="99" t="s">
        <v>14</v>
      </c>
      <c r="F113" s="99" t="s">
        <v>14</v>
      </c>
      <c r="G113" s="99" t="s">
        <v>14</v>
      </c>
      <c r="H113" s="99" t="s">
        <v>14</v>
      </c>
      <c r="I113" s="99" t="s">
        <v>40</v>
      </c>
      <c r="J113" s="99"/>
      <c r="K113" s="99" t="s">
        <v>265</v>
      </c>
    </row>
    <row r="114" spans="1:11" s="98" customFormat="1" x14ac:dyDescent="0.25">
      <c r="A114" s="98" t="s">
        <v>243</v>
      </c>
      <c r="B114" s="98" t="s">
        <v>512</v>
      </c>
      <c r="C114" s="98" t="s">
        <v>503</v>
      </c>
      <c r="D114" s="99" t="s">
        <v>253</v>
      </c>
      <c r="E114" s="99" t="s">
        <v>13</v>
      </c>
      <c r="F114" s="99" t="s">
        <v>13</v>
      </c>
      <c r="G114" s="99" t="s">
        <v>14</v>
      </c>
      <c r="H114" s="99" t="s">
        <v>14</v>
      </c>
      <c r="I114" s="99" t="s">
        <v>256</v>
      </c>
      <c r="J114" s="99"/>
      <c r="K114" s="99"/>
    </row>
    <row r="115" spans="1:11" s="98" customFormat="1" x14ac:dyDescent="0.25">
      <c r="A115" s="98" t="s">
        <v>243</v>
      </c>
      <c r="B115" s="98" t="s">
        <v>588</v>
      </c>
      <c r="C115" s="98" t="s">
        <v>443</v>
      </c>
      <c r="D115" s="99" t="s">
        <v>13</v>
      </c>
      <c r="E115" s="99" t="s">
        <v>13</v>
      </c>
      <c r="F115" s="99" t="s">
        <v>13</v>
      </c>
      <c r="G115" s="99"/>
      <c r="H115" s="99" t="s">
        <v>13</v>
      </c>
      <c r="I115" s="99" t="s">
        <v>40</v>
      </c>
      <c r="J115" s="99"/>
      <c r="K115" s="99" t="s">
        <v>595</v>
      </c>
    </row>
    <row r="116" spans="1:11" s="66" customFormat="1" x14ac:dyDescent="0.25">
      <c r="A116" s="66" t="s">
        <v>97</v>
      </c>
      <c r="B116" s="66" t="s">
        <v>117</v>
      </c>
      <c r="C116" s="66" t="s">
        <v>96</v>
      </c>
      <c r="D116" s="77" t="s">
        <v>14</v>
      </c>
      <c r="E116" s="77" t="s">
        <v>14</v>
      </c>
      <c r="F116" s="77" t="s">
        <v>14</v>
      </c>
      <c r="G116" s="77" t="s">
        <v>14</v>
      </c>
      <c r="H116" s="77" t="s">
        <v>13</v>
      </c>
      <c r="I116" s="77" t="s">
        <v>40</v>
      </c>
      <c r="J116" s="77" t="s">
        <v>98</v>
      </c>
      <c r="K116" s="77" t="s">
        <v>99</v>
      </c>
    </row>
    <row r="117" spans="1:11" s="66" customFormat="1" ht="30" x14ac:dyDescent="0.25">
      <c r="A117" s="66" t="s">
        <v>97</v>
      </c>
      <c r="B117" s="66" t="s">
        <v>355</v>
      </c>
      <c r="C117" s="100" t="s">
        <v>298</v>
      </c>
      <c r="D117" s="77" t="s">
        <v>43</v>
      </c>
      <c r="E117" s="77" t="s">
        <v>43</v>
      </c>
      <c r="F117" s="77" t="s">
        <v>43</v>
      </c>
      <c r="G117" s="77" t="s">
        <v>43</v>
      </c>
      <c r="H117" s="77" t="s">
        <v>43</v>
      </c>
      <c r="I117" s="77" t="s">
        <v>15</v>
      </c>
      <c r="J117" s="77" t="s">
        <v>299</v>
      </c>
      <c r="K117" s="77" t="s">
        <v>300</v>
      </c>
    </row>
    <row r="118" spans="1:11" s="66" customFormat="1" ht="30" x14ac:dyDescent="0.25">
      <c r="A118" s="66" t="s">
        <v>97</v>
      </c>
      <c r="B118" s="66" t="s">
        <v>355</v>
      </c>
      <c r="C118" s="100" t="s">
        <v>301</v>
      </c>
      <c r="D118" s="77" t="s">
        <v>43</v>
      </c>
      <c r="E118" s="77" t="s">
        <v>43</v>
      </c>
      <c r="F118" s="77" t="s">
        <v>43</v>
      </c>
      <c r="G118" s="77" t="s">
        <v>43</v>
      </c>
      <c r="H118" s="77" t="s">
        <v>43</v>
      </c>
      <c r="I118" s="77" t="s">
        <v>15</v>
      </c>
      <c r="J118" s="77" t="s">
        <v>299</v>
      </c>
      <c r="K118" s="77" t="s">
        <v>300</v>
      </c>
    </row>
    <row r="119" spans="1:11" s="66" customFormat="1" ht="30" x14ac:dyDescent="0.25">
      <c r="A119" s="66" t="s">
        <v>97</v>
      </c>
      <c r="B119" s="66" t="s">
        <v>355</v>
      </c>
      <c r="C119" s="100" t="s">
        <v>302</v>
      </c>
      <c r="D119" s="77" t="s">
        <v>43</v>
      </c>
      <c r="E119" s="77" t="s">
        <v>303</v>
      </c>
      <c r="F119" s="77" t="s">
        <v>43</v>
      </c>
      <c r="G119" s="77" t="s">
        <v>43</v>
      </c>
      <c r="H119" s="77" t="s">
        <v>43</v>
      </c>
      <c r="I119" s="77" t="s">
        <v>15</v>
      </c>
      <c r="J119" s="77" t="s">
        <v>632</v>
      </c>
      <c r="K119" s="77" t="s">
        <v>304</v>
      </c>
    </row>
    <row r="120" spans="1:11" s="66" customFormat="1" x14ac:dyDescent="0.25">
      <c r="A120" s="66" t="s">
        <v>97</v>
      </c>
      <c r="B120" s="66" t="s">
        <v>355</v>
      </c>
      <c r="C120" s="100" t="s">
        <v>305</v>
      </c>
      <c r="D120" s="77" t="s">
        <v>43</v>
      </c>
      <c r="E120" s="77" t="s">
        <v>43</v>
      </c>
      <c r="F120" s="77" t="s">
        <v>43</v>
      </c>
      <c r="G120" s="77" t="s">
        <v>43</v>
      </c>
      <c r="H120" s="77" t="s">
        <v>306</v>
      </c>
      <c r="I120" s="77" t="s">
        <v>15</v>
      </c>
      <c r="J120" s="77" t="s">
        <v>307</v>
      </c>
      <c r="K120" s="77" t="s">
        <v>308</v>
      </c>
    </row>
    <row r="121" spans="1:11" s="66" customFormat="1" x14ac:dyDescent="0.25">
      <c r="A121" s="66" t="s">
        <v>97</v>
      </c>
      <c r="B121" s="66" t="s">
        <v>355</v>
      </c>
      <c r="C121" s="100" t="s">
        <v>309</v>
      </c>
      <c r="D121" s="77" t="s">
        <v>43</v>
      </c>
      <c r="E121" s="77" t="s">
        <v>43</v>
      </c>
      <c r="F121" s="77" t="s">
        <v>43</v>
      </c>
      <c r="G121" s="77" t="s">
        <v>43</v>
      </c>
      <c r="H121" s="77" t="s">
        <v>43</v>
      </c>
      <c r="I121" s="77" t="s">
        <v>15</v>
      </c>
      <c r="J121" s="77" t="s">
        <v>633</v>
      </c>
      <c r="K121" s="77"/>
    </row>
    <row r="122" spans="1:11" s="66" customFormat="1" x14ac:dyDescent="0.25">
      <c r="A122" s="66" t="s">
        <v>97</v>
      </c>
      <c r="B122" s="66" t="s">
        <v>355</v>
      </c>
      <c r="C122" s="100" t="s">
        <v>310</v>
      </c>
      <c r="D122" s="77" t="s">
        <v>43</v>
      </c>
      <c r="E122" s="77" t="s">
        <v>43</v>
      </c>
      <c r="F122" s="77" t="s">
        <v>43</v>
      </c>
      <c r="G122" s="77" t="s">
        <v>43</v>
      </c>
      <c r="H122" s="77" t="s">
        <v>43</v>
      </c>
      <c r="I122" s="77" t="s">
        <v>15</v>
      </c>
      <c r="J122" s="77" t="s">
        <v>633</v>
      </c>
      <c r="K122" s="77"/>
    </row>
    <row r="123" spans="1:11" s="66" customFormat="1" x14ac:dyDescent="0.25">
      <c r="A123" s="66" t="s">
        <v>97</v>
      </c>
      <c r="B123" s="66" t="s">
        <v>355</v>
      </c>
      <c r="C123" s="100" t="s">
        <v>311</v>
      </c>
      <c r="D123" s="77" t="s">
        <v>306</v>
      </c>
      <c r="E123" s="77" t="s">
        <v>303</v>
      </c>
      <c r="F123" s="77" t="s">
        <v>43</v>
      </c>
      <c r="G123" s="77" t="s">
        <v>43</v>
      </c>
      <c r="H123" s="77" t="s">
        <v>306</v>
      </c>
      <c r="I123" s="77" t="s">
        <v>15</v>
      </c>
      <c r="J123" s="77" t="s">
        <v>634</v>
      </c>
      <c r="K123" s="77" t="s">
        <v>312</v>
      </c>
    </row>
    <row r="124" spans="1:11" s="66" customFormat="1" x14ac:dyDescent="0.25">
      <c r="A124" s="66" t="s">
        <v>97</v>
      </c>
      <c r="B124" s="66" t="s">
        <v>355</v>
      </c>
      <c r="C124" s="100" t="s">
        <v>313</v>
      </c>
      <c r="D124" s="77" t="s">
        <v>306</v>
      </c>
      <c r="E124" s="77" t="s">
        <v>314</v>
      </c>
      <c r="F124" s="77" t="s">
        <v>43</v>
      </c>
      <c r="G124" s="77" t="s">
        <v>43</v>
      </c>
      <c r="H124" s="77" t="s">
        <v>43</v>
      </c>
      <c r="I124" s="77" t="s">
        <v>15</v>
      </c>
      <c r="J124" s="77" t="s">
        <v>635</v>
      </c>
      <c r="K124" s="77" t="s">
        <v>315</v>
      </c>
    </row>
    <row r="125" spans="1:11" s="66" customFormat="1" x14ac:dyDescent="0.25">
      <c r="A125" s="66" t="s">
        <v>97</v>
      </c>
      <c r="B125" s="66" t="s">
        <v>355</v>
      </c>
      <c r="C125" s="100" t="s">
        <v>316</v>
      </c>
      <c r="D125" s="77" t="s">
        <v>306</v>
      </c>
      <c r="E125" s="77" t="s">
        <v>314</v>
      </c>
      <c r="F125" s="77" t="s">
        <v>43</v>
      </c>
      <c r="G125" s="77" t="s">
        <v>43</v>
      </c>
      <c r="H125" s="77" t="s">
        <v>306</v>
      </c>
      <c r="I125" s="77" t="s">
        <v>15</v>
      </c>
      <c r="J125" s="77" t="s">
        <v>636</v>
      </c>
      <c r="K125" s="77" t="s">
        <v>317</v>
      </c>
    </row>
    <row r="126" spans="1:11" s="66" customFormat="1" x14ac:dyDescent="0.25">
      <c r="A126" s="66" t="s">
        <v>97</v>
      </c>
      <c r="B126" s="66" t="s">
        <v>355</v>
      </c>
      <c r="C126" s="100" t="s">
        <v>342</v>
      </c>
      <c r="D126" s="77" t="s">
        <v>306</v>
      </c>
      <c r="E126" s="77" t="s">
        <v>43</v>
      </c>
      <c r="F126" s="77" t="s">
        <v>43</v>
      </c>
      <c r="G126" s="77" t="s">
        <v>43</v>
      </c>
      <c r="H126" s="77" t="s">
        <v>306</v>
      </c>
      <c r="I126" s="77" t="s">
        <v>15</v>
      </c>
      <c r="J126" s="77" t="s">
        <v>640</v>
      </c>
      <c r="K126" s="77" t="s">
        <v>343</v>
      </c>
    </row>
    <row r="127" spans="1:11" s="66" customFormat="1" x14ac:dyDescent="0.25">
      <c r="A127" s="66" t="s">
        <v>97</v>
      </c>
      <c r="B127" s="66" t="s">
        <v>430</v>
      </c>
      <c r="C127" s="66" t="s">
        <v>409</v>
      </c>
      <c r="D127" s="77" t="s">
        <v>13</v>
      </c>
      <c r="E127" s="77" t="s">
        <v>14</v>
      </c>
      <c r="F127" s="77" t="s">
        <v>13</v>
      </c>
      <c r="G127" s="77" t="s">
        <v>13</v>
      </c>
      <c r="H127" s="77" t="s">
        <v>14</v>
      </c>
      <c r="I127" s="77" t="s">
        <v>15</v>
      </c>
      <c r="J127" s="77"/>
      <c r="K127" s="77"/>
    </row>
    <row r="128" spans="1:11" s="66" customFormat="1" x14ac:dyDescent="0.25">
      <c r="A128" s="66" t="s">
        <v>97</v>
      </c>
      <c r="B128" s="66" t="s">
        <v>430</v>
      </c>
      <c r="C128" s="66" t="s">
        <v>410</v>
      </c>
      <c r="D128" s="77" t="s">
        <v>13</v>
      </c>
      <c r="E128" s="77" t="s">
        <v>14</v>
      </c>
      <c r="F128" s="77" t="s">
        <v>13</v>
      </c>
      <c r="G128" s="77" t="s">
        <v>13</v>
      </c>
      <c r="H128" s="77" t="s">
        <v>13</v>
      </c>
      <c r="I128" s="77" t="s">
        <v>15</v>
      </c>
      <c r="J128" s="77"/>
      <c r="K128" s="77"/>
    </row>
    <row r="129" spans="1:11" s="66" customFormat="1" x14ac:dyDescent="0.25">
      <c r="A129" s="66" t="s">
        <v>97</v>
      </c>
      <c r="B129" s="66" t="s">
        <v>430</v>
      </c>
      <c r="C129" s="100" t="s">
        <v>432</v>
      </c>
      <c r="D129" s="77" t="s">
        <v>14</v>
      </c>
      <c r="E129" s="77" t="s">
        <v>14</v>
      </c>
      <c r="F129" s="77" t="s">
        <v>14</v>
      </c>
      <c r="G129" s="77" t="s">
        <v>13</v>
      </c>
      <c r="H129" s="77" t="s">
        <v>13</v>
      </c>
      <c r="I129" s="77" t="s">
        <v>40</v>
      </c>
      <c r="J129" s="77"/>
      <c r="K129" s="77" t="s">
        <v>412</v>
      </c>
    </row>
    <row r="130" spans="1:11" s="66" customFormat="1" ht="17.45" customHeight="1" x14ac:dyDescent="0.25">
      <c r="A130" s="66" t="s">
        <v>97</v>
      </c>
      <c r="B130" s="66" t="s">
        <v>430</v>
      </c>
      <c r="C130" s="66" t="s">
        <v>413</v>
      </c>
      <c r="D130" s="77" t="s">
        <v>13</v>
      </c>
      <c r="E130" s="77" t="s">
        <v>14</v>
      </c>
      <c r="F130" s="77" t="s">
        <v>13</v>
      </c>
      <c r="G130" s="77" t="s">
        <v>13</v>
      </c>
      <c r="H130" s="77" t="s">
        <v>13</v>
      </c>
      <c r="I130" s="77" t="s">
        <v>40</v>
      </c>
      <c r="J130" s="77"/>
      <c r="K130" s="101" t="s">
        <v>414</v>
      </c>
    </row>
    <row r="131" spans="1:11" s="66" customFormat="1" x14ac:dyDescent="0.25">
      <c r="A131" s="66" t="s">
        <v>97</v>
      </c>
      <c r="B131" s="66" t="s">
        <v>430</v>
      </c>
      <c r="C131" s="66" t="s">
        <v>423</v>
      </c>
      <c r="D131" s="77" t="s">
        <v>14</v>
      </c>
      <c r="E131" s="77" t="s">
        <v>14</v>
      </c>
      <c r="F131" s="77"/>
      <c r="G131" s="77"/>
      <c r="H131" s="77"/>
      <c r="I131" s="77"/>
      <c r="J131" s="77"/>
      <c r="K131" s="77"/>
    </row>
    <row r="132" spans="1:11" s="66" customFormat="1" x14ac:dyDescent="0.25">
      <c r="A132" s="66" t="s">
        <v>97</v>
      </c>
      <c r="B132" s="66" t="s">
        <v>430</v>
      </c>
      <c r="C132" s="66" t="s">
        <v>424</v>
      </c>
      <c r="D132" s="77" t="s">
        <v>14</v>
      </c>
      <c r="E132" s="77" t="s">
        <v>14</v>
      </c>
      <c r="F132" s="77" t="s">
        <v>14</v>
      </c>
      <c r="G132" s="77" t="s">
        <v>13</v>
      </c>
      <c r="H132" s="77" t="s">
        <v>14</v>
      </c>
      <c r="I132" s="77" t="s">
        <v>425</v>
      </c>
      <c r="J132" s="77"/>
      <c r="K132" s="77" t="s">
        <v>426</v>
      </c>
    </row>
    <row r="133" spans="1:11" s="66" customFormat="1" x14ac:dyDescent="0.25">
      <c r="A133" s="66" t="s">
        <v>97</v>
      </c>
      <c r="B133" s="66" t="s">
        <v>430</v>
      </c>
      <c r="C133" s="66" t="s">
        <v>427</v>
      </c>
      <c r="D133" s="77" t="s">
        <v>14</v>
      </c>
      <c r="E133" s="77" t="s">
        <v>14</v>
      </c>
      <c r="F133" s="77" t="s">
        <v>14</v>
      </c>
      <c r="G133" s="77" t="s">
        <v>253</v>
      </c>
      <c r="H133" s="77" t="s">
        <v>14</v>
      </c>
      <c r="I133" s="77" t="s">
        <v>40</v>
      </c>
      <c r="J133" s="77"/>
      <c r="K133" s="77" t="s">
        <v>428</v>
      </c>
    </row>
    <row r="134" spans="1:11" s="66" customFormat="1" x14ac:dyDescent="0.25">
      <c r="A134" s="66" t="s">
        <v>97</v>
      </c>
      <c r="B134" s="66" t="s">
        <v>430</v>
      </c>
      <c r="C134" s="66" t="s">
        <v>429</v>
      </c>
      <c r="D134" s="77" t="s">
        <v>13</v>
      </c>
      <c r="E134" s="77" t="s">
        <v>14</v>
      </c>
      <c r="F134" s="77" t="s">
        <v>13</v>
      </c>
      <c r="G134" s="77" t="s">
        <v>13</v>
      </c>
      <c r="H134" s="77" t="s">
        <v>13</v>
      </c>
      <c r="I134" s="77" t="s">
        <v>40</v>
      </c>
      <c r="J134" s="77"/>
      <c r="K134" s="77"/>
    </row>
    <row r="135" spans="1:11" s="67" customFormat="1" x14ac:dyDescent="0.25">
      <c r="A135" s="67" t="s">
        <v>39</v>
      </c>
      <c r="B135" s="67" t="s">
        <v>58</v>
      </c>
      <c r="C135" s="67" t="s">
        <v>38</v>
      </c>
      <c r="D135" s="78" t="s">
        <v>14</v>
      </c>
      <c r="E135" s="78" t="s">
        <v>14</v>
      </c>
      <c r="F135" s="78" t="s">
        <v>14</v>
      </c>
      <c r="G135" s="78" t="s">
        <v>14</v>
      </c>
      <c r="H135" s="78" t="s">
        <v>14</v>
      </c>
      <c r="I135" s="78" t="s">
        <v>40</v>
      </c>
      <c r="J135" s="78" t="s">
        <v>41</v>
      </c>
      <c r="K135" s="78" t="s">
        <v>654</v>
      </c>
    </row>
    <row r="136" spans="1:11" s="67" customFormat="1" x14ac:dyDescent="0.25">
      <c r="A136" s="67" t="s">
        <v>39</v>
      </c>
      <c r="B136" s="67" t="s">
        <v>58</v>
      </c>
      <c r="C136" s="67" t="s">
        <v>42</v>
      </c>
      <c r="D136" s="78" t="s">
        <v>14</v>
      </c>
      <c r="E136" s="78" t="s">
        <v>14</v>
      </c>
      <c r="F136" s="78" t="s">
        <v>43</v>
      </c>
      <c r="G136" s="78" t="s">
        <v>43</v>
      </c>
      <c r="H136" s="78" t="s">
        <v>43</v>
      </c>
      <c r="I136" s="78" t="s">
        <v>40</v>
      </c>
      <c r="J136" s="78" t="s">
        <v>44</v>
      </c>
      <c r="K136" s="78" t="s">
        <v>654</v>
      </c>
    </row>
    <row r="137" spans="1:11" s="67" customFormat="1" x14ac:dyDescent="0.25">
      <c r="A137" s="67" t="s">
        <v>39</v>
      </c>
      <c r="B137" s="67" t="s">
        <v>58</v>
      </c>
      <c r="C137" s="67" t="s">
        <v>47</v>
      </c>
      <c r="D137" s="78" t="s">
        <v>43</v>
      </c>
      <c r="E137" s="78" t="s">
        <v>14</v>
      </c>
      <c r="F137" s="78" t="s">
        <v>43</v>
      </c>
      <c r="G137" s="78" t="s">
        <v>43</v>
      </c>
      <c r="H137" s="78" t="s">
        <v>43</v>
      </c>
      <c r="I137" s="78" t="s">
        <v>40</v>
      </c>
      <c r="J137" s="78" t="s">
        <v>48</v>
      </c>
      <c r="K137" s="78" t="s">
        <v>654</v>
      </c>
    </row>
    <row r="138" spans="1:11" s="67" customFormat="1" x14ac:dyDescent="0.25">
      <c r="A138" s="67" t="s">
        <v>39</v>
      </c>
      <c r="B138" s="67" t="s">
        <v>58</v>
      </c>
      <c r="C138" s="67" t="s">
        <v>655</v>
      </c>
      <c r="D138" s="78" t="s">
        <v>43</v>
      </c>
      <c r="E138" s="78" t="s">
        <v>14</v>
      </c>
      <c r="F138" s="78" t="s">
        <v>43</v>
      </c>
      <c r="G138" s="78" t="s">
        <v>43</v>
      </c>
      <c r="H138" s="78" t="s">
        <v>43</v>
      </c>
      <c r="I138" s="78" t="s">
        <v>40</v>
      </c>
      <c r="J138" s="78" t="s">
        <v>49</v>
      </c>
      <c r="K138" s="78" t="s">
        <v>654</v>
      </c>
    </row>
    <row r="139" spans="1:11" s="67" customFormat="1" x14ac:dyDescent="0.25">
      <c r="A139" s="67" t="s">
        <v>39</v>
      </c>
      <c r="B139" s="67" t="s">
        <v>58</v>
      </c>
      <c r="C139" s="67" t="s">
        <v>50</v>
      </c>
      <c r="D139" s="78" t="s">
        <v>43</v>
      </c>
      <c r="E139" s="78" t="s">
        <v>14</v>
      </c>
      <c r="F139" s="78" t="s">
        <v>43</v>
      </c>
      <c r="G139" s="78" t="s">
        <v>43</v>
      </c>
      <c r="H139" s="78" t="s">
        <v>43</v>
      </c>
      <c r="I139" s="78" t="s">
        <v>40</v>
      </c>
      <c r="J139" s="78" t="s">
        <v>51</v>
      </c>
      <c r="K139" s="78" t="s">
        <v>654</v>
      </c>
    </row>
    <row r="140" spans="1:11" s="67" customFormat="1" x14ac:dyDescent="0.25">
      <c r="A140" s="67" t="s">
        <v>39</v>
      </c>
      <c r="B140" s="67" t="s">
        <v>58</v>
      </c>
      <c r="C140" s="67" t="s">
        <v>52</v>
      </c>
      <c r="D140" s="78" t="s">
        <v>43</v>
      </c>
      <c r="E140" s="78" t="s">
        <v>14</v>
      </c>
      <c r="F140" s="78" t="s">
        <v>43</v>
      </c>
      <c r="G140" s="78" t="s">
        <v>43</v>
      </c>
      <c r="H140" s="78" t="s">
        <v>43</v>
      </c>
      <c r="I140" s="78" t="s">
        <v>40</v>
      </c>
      <c r="J140" s="78" t="s">
        <v>53</v>
      </c>
      <c r="K140" s="78" t="s">
        <v>654</v>
      </c>
    </row>
    <row r="141" spans="1:11" s="67" customFormat="1" x14ac:dyDescent="0.25">
      <c r="A141" s="67" t="s">
        <v>39</v>
      </c>
      <c r="B141" s="67" t="s">
        <v>58</v>
      </c>
      <c r="C141" s="67" t="s">
        <v>54</v>
      </c>
      <c r="D141" s="78" t="s">
        <v>43</v>
      </c>
      <c r="E141" s="78" t="s">
        <v>14</v>
      </c>
      <c r="F141" s="78" t="s">
        <v>43</v>
      </c>
      <c r="G141" s="78" t="s">
        <v>43</v>
      </c>
      <c r="H141" s="78" t="s">
        <v>43</v>
      </c>
      <c r="I141" s="78" t="s">
        <v>40</v>
      </c>
      <c r="J141" s="78" t="s">
        <v>51</v>
      </c>
      <c r="K141" s="78" t="s">
        <v>654</v>
      </c>
    </row>
    <row r="142" spans="1:11" s="67" customFormat="1" x14ac:dyDescent="0.25">
      <c r="A142" s="67" t="s">
        <v>39</v>
      </c>
      <c r="B142" s="67" t="s">
        <v>58</v>
      </c>
      <c r="C142" s="67" t="s">
        <v>55</v>
      </c>
      <c r="D142" s="78" t="s">
        <v>43</v>
      </c>
      <c r="E142" s="78" t="s">
        <v>43</v>
      </c>
      <c r="F142" s="78" t="s">
        <v>43</v>
      </c>
      <c r="G142" s="78" t="s">
        <v>43</v>
      </c>
      <c r="H142" s="78" t="s">
        <v>43</v>
      </c>
      <c r="I142" s="78" t="s">
        <v>40</v>
      </c>
      <c r="J142" s="78" t="s">
        <v>57</v>
      </c>
      <c r="K142" s="78" t="s">
        <v>654</v>
      </c>
    </row>
    <row r="143" spans="1:11" s="67" customFormat="1" x14ac:dyDescent="0.25">
      <c r="A143" s="67" t="s">
        <v>39</v>
      </c>
      <c r="B143" s="67" t="s">
        <v>281</v>
      </c>
      <c r="C143" s="67" t="s">
        <v>292</v>
      </c>
      <c r="D143" s="78" t="s">
        <v>35</v>
      </c>
      <c r="E143" s="78" t="s">
        <v>14</v>
      </c>
      <c r="F143" s="78" t="s">
        <v>14</v>
      </c>
      <c r="G143" s="78" t="s">
        <v>14</v>
      </c>
      <c r="H143" s="78" t="s">
        <v>14</v>
      </c>
      <c r="I143" s="78" t="s">
        <v>15</v>
      </c>
      <c r="J143" s="78"/>
      <c r="K143" s="78" t="s">
        <v>293</v>
      </c>
    </row>
    <row r="144" spans="1:11" s="67" customFormat="1" x14ac:dyDescent="0.25">
      <c r="A144" s="67" t="s">
        <v>39</v>
      </c>
      <c r="B144" s="67" t="s">
        <v>281</v>
      </c>
      <c r="C144" s="67" t="s">
        <v>294</v>
      </c>
      <c r="D144" s="78" t="s">
        <v>35</v>
      </c>
      <c r="E144" s="78" t="s">
        <v>14</v>
      </c>
      <c r="F144" s="78" t="s">
        <v>14</v>
      </c>
      <c r="G144" s="78" t="s">
        <v>14</v>
      </c>
      <c r="H144" s="78" t="s">
        <v>14</v>
      </c>
      <c r="I144" s="78" t="s">
        <v>15</v>
      </c>
      <c r="J144" s="78"/>
      <c r="K144" s="78" t="s">
        <v>295</v>
      </c>
    </row>
    <row r="145" spans="1:11" s="67" customFormat="1" x14ac:dyDescent="0.25">
      <c r="A145" s="67" t="s">
        <v>39</v>
      </c>
      <c r="B145" s="67" t="s">
        <v>281</v>
      </c>
      <c r="C145" s="67" t="s">
        <v>296</v>
      </c>
      <c r="D145" s="78" t="s">
        <v>35</v>
      </c>
      <c r="E145" s="78" t="s">
        <v>14</v>
      </c>
      <c r="F145" s="78" t="s">
        <v>14</v>
      </c>
      <c r="G145" s="78" t="s">
        <v>14</v>
      </c>
      <c r="H145" s="78" t="s">
        <v>14</v>
      </c>
      <c r="I145" s="78" t="s">
        <v>15</v>
      </c>
      <c r="J145" s="78"/>
      <c r="K145" s="78" t="s">
        <v>297</v>
      </c>
    </row>
    <row r="146" spans="1:11" s="67" customFormat="1" x14ac:dyDescent="0.25">
      <c r="A146" s="67" t="s">
        <v>39</v>
      </c>
      <c r="B146" s="67" t="s">
        <v>357</v>
      </c>
      <c r="C146" s="67" t="s">
        <v>388</v>
      </c>
      <c r="D146" s="78" t="s">
        <v>14</v>
      </c>
      <c r="E146" s="78" t="s">
        <v>14</v>
      </c>
      <c r="F146" s="78" t="s">
        <v>14</v>
      </c>
      <c r="G146" s="78" t="s">
        <v>13</v>
      </c>
      <c r="H146" s="78" t="s">
        <v>14</v>
      </c>
      <c r="I146" s="78" t="s">
        <v>15</v>
      </c>
      <c r="J146" s="78" t="s">
        <v>389</v>
      </c>
      <c r="K146" s="78" t="s">
        <v>390</v>
      </c>
    </row>
    <row r="147" spans="1:11" s="67" customFormat="1" x14ac:dyDescent="0.25">
      <c r="A147" s="67" t="s">
        <v>39</v>
      </c>
      <c r="B147" s="67" t="s">
        <v>357</v>
      </c>
      <c r="C147" s="67" t="s">
        <v>391</v>
      </c>
      <c r="D147" s="78" t="s">
        <v>14</v>
      </c>
      <c r="E147" s="78" t="s">
        <v>14</v>
      </c>
      <c r="F147" s="78" t="s">
        <v>14</v>
      </c>
      <c r="G147" s="78" t="s">
        <v>14</v>
      </c>
      <c r="H147" s="78" t="s">
        <v>13</v>
      </c>
      <c r="I147" s="78" t="s">
        <v>15</v>
      </c>
      <c r="J147" s="78" t="s">
        <v>392</v>
      </c>
      <c r="K147" s="78" t="s">
        <v>393</v>
      </c>
    </row>
    <row r="148" spans="1:11" s="64" customFormat="1" x14ac:dyDescent="0.25">
      <c r="A148" s="64" t="s">
        <v>150</v>
      </c>
      <c r="B148" s="64" t="s">
        <v>172</v>
      </c>
      <c r="C148" s="64" t="s">
        <v>149</v>
      </c>
      <c r="D148" s="70" t="s">
        <v>14</v>
      </c>
      <c r="E148" s="70" t="s">
        <v>14</v>
      </c>
      <c r="F148" s="70" t="s">
        <v>14</v>
      </c>
      <c r="G148" s="70" t="s">
        <v>14</v>
      </c>
      <c r="H148" s="70" t="s">
        <v>14</v>
      </c>
      <c r="I148" s="70" t="s">
        <v>15</v>
      </c>
      <c r="J148" s="70" t="s">
        <v>151</v>
      </c>
      <c r="K148" s="70" t="s">
        <v>152</v>
      </c>
    </row>
    <row r="149" spans="1:11" s="64" customFormat="1" x14ac:dyDescent="0.25">
      <c r="A149" s="64" t="s">
        <v>150</v>
      </c>
      <c r="B149" s="64" t="s">
        <v>512</v>
      </c>
      <c r="C149" s="64" t="s">
        <v>508</v>
      </c>
      <c r="D149" s="70" t="s">
        <v>253</v>
      </c>
      <c r="E149" s="70" t="s">
        <v>14</v>
      </c>
      <c r="F149" s="70" t="s">
        <v>14</v>
      </c>
      <c r="G149" s="70" t="s">
        <v>14</v>
      </c>
      <c r="H149" s="70" t="s">
        <v>14</v>
      </c>
      <c r="I149" s="70" t="s">
        <v>256</v>
      </c>
      <c r="J149" s="70"/>
      <c r="K149" s="70"/>
    </row>
    <row r="150" spans="1:11" s="64" customFormat="1" x14ac:dyDescent="0.25">
      <c r="A150" s="64" t="s">
        <v>150</v>
      </c>
      <c r="B150" s="64" t="s">
        <v>512</v>
      </c>
      <c r="C150" s="64" t="s">
        <v>509</v>
      </c>
      <c r="D150" s="70" t="s">
        <v>253</v>
      </c>
      <c r="E150" s="70" t="s">
        <v>14</v>
      </c>
      <c r="F150" s="70" t="s">
        <v>14</v>
      </c>
      <c r="G150" s="70" t="s">
        <v>14</v>
      </c>
      <c r="H150" s="70" t="s">
        <v>14</v>
      </c>
      <c r="I150" s="70" t="s">
        <v>256</v>
      </c>
      <c r="J150" s="70"/>
      <c r="K150" s="70"/>
    </row>
    <row r="151" spans="1:11" s="58" customFormat="1" x14ac:dyDescent="0.25">
      <c r="A151" s="58" t="s">
        <v>491</v>
      </c>
      <c r="B151" s="58" t="s">
        <v>512</v>
      </c>
      <c r="C151" s="58" t="s">
        <v>506</v>
      </c>
      <c r="D151" s="104" t="s">
        <v>253</v>
      </c>
      <c r="E151" s="104" t="s">
        <v>14</v>
      </c>
      <c r="F151" s="104" t="s">
        <v>14</v>
      </c>
      <c r="G151" s="104" t="s">
        <v>14</v>
      </c>
      <c r="H151" s="104" t="s">
        <v>13</v>
      </c>
      <c r="I151" s="104" t="s">
        <v>256</v>
      </c>
      <c r="J151" s="104"/>
      <c r="K151" s="104" t="s">
        <v>507</v>
      </c>
    </row>
    <row r="152" spans="1:11" s="58" customFormat="1" x14ac:dyDescent="0.25">
      <c r="A152" s="58" t="s">
        <v>491</v>
      </c>
      <c r="B152" s="58" t="s">
        <v>512</v>
      </c>
      <c r="C152" s="58" t="s">
        <v>510</v>
      </c>
      <c r="D152" s="104" t="s">
        <v>253</v>
      </c>
      <c r="E152" s="104" t="s">
        <v>14</v>
      </c>
      <c r="F152" s="104" t="s">
        <v>14</v>
      </c>
      <c r="G152" s="104" t="s">
        <v>14</v>
      </c>
      <c r="H152" s="104" t="s">
        <v>14</v>
      </c>
      <c r="I152" s="104" t="s">
        <v>256</v>
      </c>
      <c r="J152" s="104"/>
      <c r="K152" s="104"/>
    </row>
    <row r="153" spans="1:11" s="12" customFormat="1" x14ac:dyDescent="0.25">
      <c r="A153" s="12" t="s">
        <v>418</v>
      </c>
      <c r="B153" s="12" t="s">
        <v>430</v>
      </c>
      <c r="C153" s="12" t="s">
        <v>417</v>
      </c>
      <c r="D153" s="105" t="s">
        <v>13</v>
      </c>
      <c r="E153" s="105" t="s">
        <v>14</v>
      </c>
      <c r="F153" s="105" t="s">
        <v>13</v>
      </c>
      <c r="G153" s="105" t="s">
        <v>13</v>
      </c>
      <c r="H153" s="105" t="s">
        <v>13</v>
      </c>
      <c r="I153" s="105" t="s">
        <v>40</v>
      </c>
      <c r="J153" s="105"/>
      <c r="K153" s="105" t="s">
        <v>419</v>
      </c>
    </row>
    <row r="154" spans="1:11" s="12" customFormat="1" x14ac:dyDescent="0.25">
      <c r="A154" s="12" t="s">
        <v>418</v>
      </c>
      <c r="B154" s="12" t="s">
        <v>442</v>
      </c>
      <c r="C154" s="12" t="s">
        <v>441</v>
      </c>
      <c r="D154" s="105"/>
      <c r="E154" s="105" t="s">
        <v>14</v>
      </c>
      <c r="F154" s="105" t="s">
        <v>14</v>
      </c>
      <c r="G154" s="105" t="s">
        <v>14</v>
      </c>
      <c r="H154" s="105" t="s">
        <v>14</v>
      </c>
      <c r="I154" s="105" t="s">
        <v>256</v>
      </c>
      <c r="J154" s="105"/>
      <c r="K154" s="105"/>
    </row>
    <row r="155" spans="1:11" s="12" customFormat="1" x14ac:dyDescent="0.25">
      <c r="A155" s="12" t="s">
        <v>418</v>
      </c>
      <c r="B155" s="12" t="s">
        <v>512</v>
      </c>
      <c r="C155" s="12" t="s">
        <v>511</v>
      </c>
      <c r="D155" s="105" t="s">
        <v>253</v>
      </c>
      <c r="E155" s="105" t="s">
        <v>14</v>
      </c>
      <c r="F155" s="105" t="s">
        <v>14</v>
      </c>
      <c r="G155" s="105" t="s">
        <v>14</v>
      </c>
      <c r="H155" s="105" t="s">
        <v>14</v>
      </c>
      <c r="I155" s="105" t="s">
        <v>256</v>
      </c>
      <c r="J155" s="105"/>
      <c r="K155" s="105"/>
    </row>
    <row r="156" spans="1:11" s="12" customFormat="1" x14ac:dyDescent="0.25">
      <c r="A156" s="12" t="s">
        <v>418</v>
      </c>
      <c r="B156" s="12" t="s">
        <v>513</v>
      </c>
      <c r="C156" s="12" t="s">
        <v>560</v>
      </c>
      <c r="D156" s="105" t="s">
        <v>253</v>
      </c>
      <c r="E156" s="105"/>
      <c r="F156" s="105" t="s">
        <v>14</v>
      </c>
      <c r="G156" s="105" t="s">
        <v>14</v>
      </c>
      <c r="H156" s="105" t="s">
        <v>14</v>
      </c>
      <c r="I156" s="105" t="s">
        <v>15</v>
      </c>
      <c r="J156" s="105" t="s">
        <v>561</v>
      </c>
      <c r="K156" s="105" t="s">
        <v>562</v>
      </c>
    </row>
    <row r="157" spans="1:11" s="12" customFormat="1" x14ac:dyDescent="0.25">
      <c r="A157" s="12" t="s">
        <v>418</v>
      </c>
      <c r="B157" s="12" t="s">
        <v>513</v>
      </c>
      <c r="C157" s="12" t="s">
        <v>563</v>
      </c>
      <c r="D157" s="105" t="s">
        <v>253</v>
      </c>
      <c r="E157" s="105" t="s">
        <v>14</v>
      </c>
      <c r="F157" s="105" t="s">
        <v>14</v>
      </c>
      <c r="G157" s="105" t="s">
        <v>14</v>
      </c>
      <c r="H157" s="105" t="s">
        <v>14</v>
      </c>
      <c r="I157" s="105" t="s">
        <v>15</v>
      </c>
      <c r="J157" s="105"/>
      <c r="K157" s="105" t="s">
        <v>564</v>
      </c>
    </row>
    <row r="158" spans="1:11" s="63" customFormat="1" x14ac:dyDescent="0.25">
      <c r="A158" s="63" t="s">
        <v>105</v>
      </c>
      <c r="B158" s="63" t="s">
        <v>117</v>
      </c>
      <c r="C158" s="63" t="s">
        <v>104</v>
      </c>
      <c r="D158" s="88" t="s">
        <v>14</v>
      </c>
      <c r="E158" s="88" t="s">
        <v>14</v>
      </c>
      <c r="F158" s="88" t="s">
        <v>14</v>
      </c>
      <c r="G158" s="88" t="s">
        <v>14</v>
      </c>
      <c r="H158" s="88" t="s">
        <v>14</v>
      </c>
      <c r="I158" s="88" t="s">
        <v>40</v>
      </c>
      <c r="J158" s="88" t="s">
        <v>106</v>
      </c>
      <c r="K158" s="88" t="s">
        <v>77</v>
      </c>
    </row>
    <row r="159" spans="1:11" s="63" customFormat="1" x14ac:dyDescent="0.25">
      <c r="A159" s="63" t="s">
        <v>105</v>
      </c>
      <c r="B159" s="63" t="s">
        <v>430</v>
      </c>
      <c r="C159" s="63" t="s">
        <v>422</v>
      </c>
      <c r="D159" s="88" t="s">
        <v>253</v>
      </c>
      <c r="E159" s="88" t="s">
        <v>14</v>
      </c>
      <c r="F159" s="88" t="s">
        <v>253</v>
      </c>
      <c r="G159" s="88" t="s">
        <v>253</v>
      </c>
      <c r="H159" s="88" t="s">
        <v>14</v>
      </c>
      <c r="I159" s="88" t="s">
        <v>15</v>
      </c>
      <c r="J159" s="88"/>
      <c r="K159" s="88"/>
    </row>
    <row r="160" spans="1:11" s="63" customFormat="1" x14ac:dyDescent="0.25">
      <c r="A160" s="63" t="s">
        <v>105</v>
      </c>
      <c r="B160" s="63" t="s">
        <v>442</v>
      </c>
      <c r="C160" s="63" t="s">
        <v>440</v>
      </c>
      <c r="D160" s="88"/>
      <c r="E160" s="88" t="s">
        <v>14</v>
      </c>
      <c r="F160" s="88" t="s">
        <v>14</v>
      </c>
      <c r="G160" s="88" t="s">
        <v>14</v>
      </c>
      <c r="H160" s="88" t="s">
        <v>14</v>
      </c>
      <c r="I160" s="88" t="s">
        <v>256</v>
      </c>
      <c r="J160" s="88"/>
      <c r="K160" s="88"/>
    </row>
    <row r="161" spans="1:11" s="65" customFormat="1" x14ac:dyDescent="0.25">
      <c r="A161" s="65" t="s">
        <v>328</v>
      </c>
      <c r="B161" s="65" t="s">
        <v>355</v>
      </c>
      <c r="C161" s="90" t="s">
        <v>327</v>
      </c>
      <c r="D161" s="79" t="s">
        <v>306</v>
      </c>
      <c r="E161" s="79" t="s">
        <v>303</v>
      </c>
      <c r="F161" s="79" t="s">
        <v>43</v>
      </c>
      <c r="G161" s="79" t="s">
        <v>43</v>
      </c>
      <c r="H161" s="79" t="s">
        <v>43</v>
      </c>
      <c r="I161" s="79" t="s">
        <v>15</v>
      </c>
      <c r="J161" s="79" t="s">
        <v>637</v>
      </c>
      <c r="K161" s="79" t="s">
        <v>329</v>
      </c>
    </row>
    <row r="162" spans="1:11" s="65" customFormat="1" x14ac:dyDescent="0.25">
      <c r="A162" s="65" t="s">
        <v>328</v>
      </c>
      <c r="B162" s="65" t="s">
        <v>448</v>
      </c>
      <c r="C162" s="65" t="s">
        <v>452</v>
      </c>
      <c r="D162" s="79" t="s">
        <v>13</v>
      </c>
      <c r="E162" s="79" t="s">
        <v>14</v>
      </c>
      <c r="F162" s="79" t="s">
        <v>14</v>
      </c>
      <c r="G162" s="79" t="s">
        <v>13</v>
      </c>
      <c r="H162" s="79" t="s">
        <v>14</v>
      </c>
      <c r="I162" s="79" t="s">
        <v>15</v>
      </c>
      <c r="J162" s="79" t="s">
        <v>453</v>
      </c>
      <c r="K162" s="79" t="s">
        <v>454</v>
      </c>
    </row>
    <row r="163" spans="1:11" s="65" customFormat="1" x14ac:dyDescent="0.25">
      <c r="A163" s="65" t="s">
        <v>328</v>
      </c>
      <c r="B163" s="65" t="s">
        <v>448</v>
      </c>
      <c r="C163" s="65" t="s">
        <v>455</v>
      </c>
      <c r="D163" s="79" t="s">
        <v>13</v>
      </c>
      <c r="E163" s="79" t="s">
        <v>14</v>
      </c>
      <c r="F163" s="79" t="s">
        <v>14</v>
      </c>
      <c r="G163" s="79" t="s">
        <v>13</v>
      </c>
      <c r="H163" s="79" t="s">
        <v>14</v>
      </c>
      <c r="I163" s="79" t="s">
        <v>15</v>
      </c>
      <c r="J163" s="79" t="s">
        <v>456</v>
      </c>
      <c r="K163" s="79" t="s">
        <v>457</v>
      </c>
    </row>
    <row r="164" spans="1:11" s="51" customFormat="1" x14ac:dyDescent="0.25">
      <c r="A164" s="51" t="s">
        <v>88</v>
      </c>
      <c r="B164" s="51" t="s">
        <v>117</v>
      </c>
      <c r="C164" s="51" t="s">
        <v>87</v>
      </c>
      <c r="D164" s="95" t="s">
        <v>14</v>
      </c>
      <c r="E164" s="95" t="s">
        <v>14</v>
      </c>
      <c r="F164" s="95" t="s">
        <v>13</v>
      </c>
      <c r="G164" s="95" t="s">
        <v>14</v>
      </c>
      <c r="H164" s="95" t="s">
        <v>14</v>
      </c>
      <c r="I164" s="95" t="s">
        <v>40</v>
      </c>
      <c r="J164" s="95" t="s">
        <v>89</v>
      </c>
      <c r="K164" s="95" t="s">
        <v>77</v>
      </c>
    </row>
    <row r="165" spans="1:11" s="51" customFormat="1" x14ac:dyDescent="0.25">
      <c r="A165" s="51" t="s">
        <v>88</v>
      </c>
      <c r="B165" s="51" t="s">
        <v>172</v>
      </c>
      <c r="C165" s="51" t="s">
        <v>153</v>
      </c>
      <c r="D165" s="95" t="s">
        <v>14</v>
      </c>
      <c r="E165" s="95" t="s">
        <v>14</v>
      </c>
      <c r="F165" s="95" t="s">
        <v>14</v>
      </c>
      <c r="G165" s="95" t="s">
        <v>14</v>
      </c>
      <c r="H165" s="95" t="s">
        <v>14</v>
      </c>
      <c r="I165" s="95" t="s">
        <v>15</v>
      </c>
      <c r="J165" s="95" t="s">
        <v>154</v>
      </c>
      <c r="K165" s="95" t="s">
        <v>155</v>
      </c>
    </row>
    <row r="166" spans="1:11" s="51" customFormat="1" x14ac:dyDescent="0.25">
      <c r="A166" s="51" t="s">
        <v>88</v>
      </c>
      <c r="B166" s="51" t="s">
        <v>172</v>
      </c>
      <c r="C166" s="51" t="s">
        <v>156</v>
      </c>
      <c r="D166" s="95" t="s">
        <v>13</v>
      </c>
      <c r="E166" s="95" t="s">
        <v>14</v>
      </c>
      <c r="F166" s="95" t="s">
        <v>157</v>
      </c>
      <c r="G166" s="95" t="s">
        <v>14</v>
      </c>
      <c r="H166" s="95" t="s">
        <v>14</v>
      </c>
      <c r="I166" s="95" t="s">
        <v>15</v>
      </c>
      <c r="J166" s="95" t="s">
        <v>158</v>
      </c>
      <c r="K166" s="95" t="s">
        <v>159</v>
      </c>
    </row>
    <row r="167" spans="1:11" s="51" customFormat="1" x14ac:dyDescent="0.25">
      <c r="A167" s="51" t="s">
        <v>88</v>
      </c>
      <c r="B167" s="51" t="s">
        <v>172</v>
      </c>
      <c r="C167" s="51" t="s">
        <v>160</v>
      </c>
      <c r="D167" s="95" t="s">
        <v>13</v>
      </c>
      <c r="E167" s="95" t="s">
        <v>14</v>
      </c>
      <c r="F167" s="95" t="s">
        <v>161</v>
      </c>
      <c r="G167" s="95" t="s">
        <v>14</v>
      </c>
      <c r="H167" s="95" t="s">
        <v>13</v>
      </c>
      <c r="I167" s="95" t="s">
        <v>15</v>
      </c>
      <c r="J167" s="95" t="s">
        <v>162</v>
      </c>
      <c r="K167" s="95"/>
    </row>
    <row r="168" spans="1:11" s="51" customFormat="1" x14ac:dyDescent="0.25">
      <c r="A168" s="51" t="s">
        <v>88</v>
      </c>
      <c r="B168" s="51" t="s">
        <v>355</v>
      </c>
      <c r="C168" s="96" t="s">
        <v>334</v>
      </c>
      <c r="D168" s="95" t="s">
        <v>43</v>
      </c>
      <c r="E168" s="95" t="s">
        <v>43</v>
      </c>
      <c r="F168" s="95" t="s">
        <v>43</v>
      </c>
      <c r="G168" s="95" t="s">
        <v>43</v>
      </c>
      <c r="H168" s="95" t="s">
        <v>306</v>
      </c>
      <c r="I168" s="95" t="s">
        <v>15</v>
      </c>
      <c r="J168" s="95" t="s">
        <v>639</v>
      </c>
      <c r="K168" s="95" t="s">
        <v>335</v>
      </c>
    </row>
    <row r="169" spans="1:11" s="51" customFormat="1" x14ac:dyDescent="0.25">
      <c r="A169" s="51" t="s">
        <v>88</v>
      </c>
      <c r="B169" s="51" t="s">
        <v>355</v>
      </c>
      <c r="C169" s="96" t="s">
        <v>336</v>
      </c>
      <c r="D169" s="95" t="s">
        <v>306</v>
      </c>
      <c r="E169" s="95" t="s">
        <v>43</v>
      </c>
      <c r="F169" s="95" t="s">
        <v>43</v>
      </c>
      <c r="G169" s="95" t="s">
        <v>43</v>
      </c>
      <c r="H169" s="95" t="s">
        <v>306</v>
      </c>
      <c r="I169" s="95" t="s">
        <v>15</v>
      </c>
      <c r="J169" s="95" t="s">
        <v>337</v>
      </c>
      <c r="K169" s="95" t="s">
        <v>338</v>
      </c>
    </row>
    <row r="170" spans="1:11" s="102" customFormat="1" x14ac:dyDescent="0.25">
      <c r="A170" s="102" t="s">
        <v>75</v>
      </c>
      <c r="B170" s="102" t="s">
        <v>117</v>
      </c>
      <c r="C170" s="102" t="s">
        <v>74</v>
      </c>
      <c r="D170" s="103" t="s">
        <v>14</v>
      </c>
      <c r="E170" s="103" t="s">
        <v>13</v>
      </c>
      <c r="F170" s="103" t="s">
        <v>13</v>
      </c>
      <c r="G170" s="103" t="s">
        <v>14</v>
      </c>
      <c r="H170" s="103" t="s">
        <v>14</v>
      </c>
      <c r="I170" s="103" t="s">
        <v>40</v>
      </c>
      <c r="J170" s="103" t="s">
        <v>76</v>
      </c>
      <c r="K170" s="103" t="s">
        <v>77</v>
      </c>
    </row>
    <row r="171" spans="1:11" s="102" customFormat="1" x14ac:dyDescent="0.25">
      <c r="A171" s="102" t="s">
        <v>75</v>
      </c>
      <c r="B171" s="102" t="s">
        <v>117</v>
      </c>
      <c r="C171" s="102" t="s">
        <v>78</v>
      </c>
      <c r="D171" s="103" t="s">
        <v>14</v>
      </c>
      <c r="E171" s="103" t="s">
        <v>14</v>
      </c>
      <c r="F171" s="103" t="s">
        <v>13</v>
      </c>
      <c r="G171" s="103" t="s">
        <v>14</v>
      </c>
      <c r="H171" s="103" t="s">
        <v>14</v>
      </c>
      <c r="I171" s="103" t="s">
        <v>40</v>
      </c>
      <c r="J171" s="103" t="s">
        <v>79</v>
      </c>
      <c r="K171" s="103" t="s">
        <v>77</v>
      </c>
    </row>
    <row r="172" spans="1:11" s="102" customFormat="1" x14ac:dyDescent="0.25">
      <c r="A172" s="102" t="s">
        <v>75</v>
      </c>
      <c r="B172" s="102" t="s">
        <v>117</v>
      </c>
      <c r="C172" s="102" t="s">
        <v>80</v>
      </c>
      <c r="D172" s="103" t="s">
        <v>14</v>
      </c>
      <c r="E172" s="103" t="s">
        <v>14</v>
      </c>
      <c r="F172" s="103" t="s">
        <v>13</v>
      </c>
      <c r="G172" s="103" t="s">
        <v>14</v>
      </c>
      <c r="H172" s="103" t="s">
        <v>14</v>
      </c>
      <c r="I172" s="103" t="s">
        <v>40</v>
      </c>
      <c r="J172" s="103" t="s">
        <v>81</v>
      </c>
      <c r="K172" s="103" t="s">
        <v>82</v>
      </c>
    </row>
    <row r="173" spans="1:11" s="102" customFormat="1" x14ac:dyDescent="0.25">
      <c r="A173" s="102" t="s">
        <v>75</v>
      </c>
      <c r="B173" s="102" t="s">
        <v>117</v>
      </c>
      <c r="C173" s="102" t="s">
        <v>83</v>
      </c>
      <c r="D173" s="103" t="s">
        <v>14</v>
      </c>
      <c r="E173" s="103" t="s">
        <v>14</v>
      </c>
      <c r="F173" s="103" t="s">
        <v>13</v>
      </c>
      <c r="G173" s="103" t="s">
        <v>14</v>
      </c>
      <c r="H173" s="103" t="s">
        <v>14</v>
      </c>
      <c r="I173" s="103" t="s">
        <v>40</v>
      </c>
      <c r="J173" s="103" t="s">
        <v>84</v>
      </c>
      <c r="K173" s="103" t="s">
        <v>77</v>
      </c>
    </row>
    <row r="174" spans="1:11" s="102" customFormat="1" x14ac:dyDescent="0.25">
      <c r="A174" s="102" t="s">
        <v>75</v>
      </c>
      <c r="B174" s="102" t="s">
        <v>117</v>
      </c>
      <c r="C174" s="102" t="s">
        <v>85</v>
      </c>
      <c r="D174" s="103" t="s">
        <v>14</v>
      </c>
      <c r="E174" s="103" t="s">
        <v>14</v>
      </c>
      <c r="F174" s="103" t="s">
        <v>13</v>
      </c>
      <c r="G174" s="103" t="s">
        <v>14</v>
      </c>
      <c r="H174" s="103" t="s">
        <v>14</v>
      </c>
      <c r="I174" s="103" t="s">
        <v>40</v>
      </c>
      <c r="J174" s="103" t="s">
        <v>86</v>
      </c>
      <c r="K174" s="103" t="s">
        <v>77</v>
      </c>
    </row>
    <row r="175" spans="1:11" s="102" customFormat="1" x14ac:dyDescent="0.25">
      <c r="A175" s="102" t="s">
        <v>75</v>
      </c>
      <c r="B175" s="102" t="s">
        <v>117</v>
      </c>
      <c r="C175" s="102" t="s">
        <v>90</v>
      </c>
      <c r="D175" s="103" t="s">
        <v>14</v>
      </c>
      <c r="E175" s="103" t="s">
        <v>14</v>
      </c>
      <c r="F175" s="103" t="s">
        <v>13</v>
      </c>
      <c r="G175" s="103" t="s">
        <v>14</v>
      </c>
      <c r="H175" s="103" t="s">
        <v>14</v>
      </c>
      <c r="I175" s="103" t="s">
        <v>40</v>
      </c>
      <c r="J175" s="103" t="s">
        <v>91</v>
      </c>
      <c r="K175" s="103" t="s">
        <v>77</v>
      </c>
    </row>
    <row r="176" spans="1:11" s="102" customFormat="1" x14ac:dyDescent="0.25">
      <c r="A176" s="102" t="s">
        <v>75</v>
      </c>
      <c r="B176" s="102" t="s">
        <v>117</v>
      </c>
      <c r="C176" s="102" t="s">
        <v>92</v>
      </c>
      <c r="D176" s="103" t="s">
        <v>14</v>
      </c>
      <c r="E176" s="103" t="s">
        <v>14</v>
      </c>
      <c r="F176" s="103" t="s">
        <v>14</v>
      </c>
      <c r="G176" s="103" t="s">
        <v>14</v>
      </c>
      <c r="H176" s="103" t="s">
        <v>14</v>
      </c>
      <c r="I176" s="103" t="s">
        <v>40</v>
      </c>
      <c r="J176" s="103" t="s">
        <v>93</v>
      </c>
      <c r="K176" s="103" t="s">
        <v>77</v>
      </c>
    </row>
    <row r="177" spans="1:11" s="102" customFormat="1" x14ac:dyDescent="0.25">
      <c r="A177" s="102" t="s">
        <v>75</v>
      </c>
      <c r="B177" s="102" t="s">
        <v>117</v>
      </c>
      <c r="C177" s="102" t="s">
        <v>94</v>
      </c>
      <c r="D177" s="103" t="s">
        <v>14</v>
      </c>
      <c r="E177" s="103" t="s">
        <v>14</v>
      </c>
      <c r="F177" s="103" t="s">
        <v>13</v>
      </c>
      <c r="G177" s="103" t="s">
        <v>14</v>
      </c>
      <c r="H177" s="103" t="s">
        <v>14</v>
      </c>
      <c r="I177" s="103" t="s">
        <v>40</v>
      </c>
      <c r="J177" s="103" t="s">
        <v>95</v>
      </c>
      <c r="K177" s="103" t="s">
        <v>77</v>
      </c>
    </row>
    <row r="178" spans="1:11" s="102" customFormat="1" x14ac:dyDescent="0.25">
      <c r="A178" s="102" t="s">
        <v>75</v>
      </c>
      <c r="B178" s="102" t="s">
        <v>117</v>
      </c>
      <c r="C178" s="102" t="s">
        <v>100</v>
      </c>
      <c r="D178" s="103" t="s">
        <v>14</v>
      </c>
      <c r="E178" s="103" t="s">
        <v>14</v>
      </c>
      <c r="F178" s="103" t="s">
        <v>13</v>
      </c>
      <c r="G178" s="103" t="s">
        <v>14</v>
      </c>
      <c r="H178" s="103" t="s">
        <v>14</v>
      </c>
      <c r="I178" s="103" t="s">
        <v>40</v>
      </c>
      <c r="J178" s="103" t="s">
        <v>101</v>
      </c>
      <c r="K178" s="103" t="s">
        <v>77</v>
      </c>
    </row>
    <row r="179" spans="1:11" s="102" customFormat="1" x14ac:dyDescent="0.25">
      <c r="A179" s="102" t="s">
        <v>75</v>
      </c>
      <c r="B179" s="102" t="s">
        <v>117</v>
      </c>
      <c r="C179" s="102" t="s">
        <v>102</v>
      </c>
      <c r="D179" s="103" t="s">
        <v>14</v>
      </c>
      <c r="E179" s="103" t="s">
        <v>14</v>
      </c>
      <c r="F179" s="103" t="s">
        <v>13</v>
      </c>
      <c r="G179" s="103" t="s">
        <v>14</v>
      </c>
      <c r="H179" s="103" t="s">
        <v>14</v>
      </c>
      <c r="I179" s="103" t="s">
        <v>40</v>
      </c>
      <c r="J179" s="103" t="s">
        <v>103</v>
      </c>
      <c r="K179" s="103" t="s">
        <v>77</v>
      </c>
    </row>
    <row r="180" spans="1:11" s="102" customFormat="1" x14ac:dyDescent="0.25">
      <c r="A180" s="102" t="s">
        <v>75</v>
      </c>
      <c r="B180" s="102" t="s">
        <v>117</v>
      </c>
      <c r="C180" s="102" t="s">
        <v>107</v>
      </c>
      <c r="D180" s="103" t="s">
        <v>14</v>
      </c>
      <c r="E180" s="103" t="s">
        <v>14</v>
      </c>
      <c r="F180" s="103" t="s">
        <v>13</v>
      </c>
      <c r="G180" s="103" t="s">
        <v>14</v>
      </c>
      <c r="H180" s="103" t="s">
        <v>14</v>
      </c>
      <c r="I180" s="103" t="s">
        <v>40</v>
      </c>
      <c r="J180" s="103" t="s">
        <v>108</v>
      </c>
      <c r="K180" s="103" t="s">
        <v>77</v>
      </c>
    </row>
    <row r="181" spans="1:11" s="102" customFormat="1" x14ac:dyDescent="0.25">
      <c r="A181" s="102" t="s">
        <v>75</v>
      </c>
      <c r="B181" s="102" t="s">
        <v>117</v>
      </c>
      <c r="C181" s="102" t="s">
        <v>109</v>
      </c>
      <c r="D181" s="103" t="s">
        <v>14</v>
      </c>
      <c r="E181" s="103" t="s">
        <v>14</v>
      </c>
      <c r="F181" s="103" t="s">
        <v>13</v>
      </c>
      <c r="G181" s="103" t="s">
        <v>14</v>
      </c>
      <c r="H181" s="103" t="s">
        <v>14</v>
      </c>
      <c r="I181" s="103" t="s">
        <v>40</v>
      </c>
      <c r="J181" s="103" t="s">
        <v>110</v>
      </c>
      <c r="K181" s="103" t="s">
        <v>77</v>
      </c>
    </row>
    <row r="182" spans="1:11" s="102" customFormat="1" x14ac:dyDescent="0.25">
      <c r="A182" s="102" t="s">
        <v>75</v>
      </c>
      <c r="B182" s="102" t="s">
        <v>117</v>
      </c>
      <c r="C182" s="102" t="s">
        <v>112</v>
      </c>
      <c r="D182" s="103" t="s">
        <v>14</v>
      </c>
      <c r="E182" s="103" t="s">
        <v>14</v>
      </c>
      <c r="F182" s="103" t="s">
        <v>13</v>
      </c>
      <c r="G182" s="103" t="s">
        <v>14</v>
      </c>
      <c r="H182" s="103" t="s">
        <v>14</v>
      </c>
      <c r="I182" s="103" t="s">
        <v>40</v>
      </c>
      <c r="J182" s="103" t="s">
        <v>112</v>
      </c>
      <c r="K182" s="103" t="s">
        <v>77</v>
      </c>
    </row>
    <row r="183" spans="1:11" s="102" customFormat="1" x14ac:dyDescent="0.25">
      <c r="A183" s="102" t="s">
        <v>75</v>
      </c>
      <c r="B183" s="102" t="s">
        <v>281</v>
      </c>
      <c r="C183" s="102" t="s">
        <v>282</v>
      </c>
      <c r="D183" s="103" t="s">
        <v>35</v>
      </c>
      <c r="E183" s="103" t="s">
        <v>14</v>
      </c>
      <c r="F183" s="103" t="s">
        <v>14</v>
      </c>
      <c r="G183" s="103" t="s">
        <v>14</v>
      </c>
      <c r="H183" s="103" t="s">
        <v>14</v>
      </c>
      <c r="I183" s="103" t="s">
        <v>15</v>
      </c>
      <c r="J183" s="103" t="s">
        <v>283</v>
      </c>
      <c r="K183" s="103" t="s">
        <v>284</v>
      </c>
    </row>
    <row r="184" spans="1:11" s="102" customFormat="1" x14ac:dyDescent="0.25">
      <c r="A184" s="102" t="s">
        <v>75</v>
      </c>
      <c r="B184" s="102" t="s">
        <v>355</v>
      </c>
      <c r="C184" s="106" t="s">
        <v>318</v>
      </c>
      <c r="D184" s="103" t="s">
        <v>43</v>
      </c>
      <c r="E184" s="103" t="s">
        <v>43</v>
      </c>
      <c r="F184" s="103" t="s">
        <v>43</v>
      </c>
      <c r="G184" s="103" t="s">
        <v>43</v>
      </c>
      <c r="H184" s="103" t="s">
        <v>43</v>
      </c>
      <c r="I184" s="103" t="s">
        <v>15</v>
      </c>
      <c r="J184" s="103" t="s">
        <v>319</v>
      </c>
      <c r="K184" s="103" t="s">
        <v>320</v>
      </c>
    </row>
    <row r="185" spans="1:11" s="102" customFormat="1" x14ac:dyDescent="0.25">
      <c r="A185" s="102" t="s">
        <v>75</v>
      </c>
      <c r="B185" s="102" t="s">
        <v>355</v>
      </c>
      <c r="C185" s="106" t="s">
        <v>173</v>
      </c>
      <c r="D185" s="103" t="s">
        <v>306</v>
      </c>
      <c r="E185" s="103" t="s">
        <v>43</v>
      </c>
      <c r="F185" s="103" t="s">
        <v>43</v>
      </c>
      <c r="G185" s="103" t="s">
        <v>43</v>
      </c>
      <c r="H185" s="103" t="s">
        <v>306</v>
      </c>
      <c r="I185" s="103" t="s">
        <v>15</v>
      </c>
      <c r="J185" s="103" t="s">
        <v>321</v>
      </c>
      <c r="K185" s="103" t="s">
        <v>322</v>
      </c>
    </row>
    <row r="186" spans="1:11" s="102" customFormat="1" x14ac:dyDescent="0.25">
      <c r="A186" s="102" t="s">
        <v>75</v>
      </c>
      <c r="B186" s="102" t="s">
        <v>355</v>
      </c>
      <c r="C186" s="106" t="s">
        <v>323</v>
      </c>
      <c r="D186" s="103" t="s">
        <v>306</v>
      </c>
      <c r="E186" s="103" t="s">
        <v>43</v>
      </c>
      <c r="F186" s="103" t="s">
        <v>43</v>
      </c>
      <c r="G186" s="103" t="s">
        <v>43</v>
      </c>
      <c r="H186" s="103" t="s">
        <v>306</v>
      </c>
      <c r="I186" s="103" t="s">
        <v>15</v>
      </c>
      <c r="J186" s="103" t="s">
        <v>319</v>
      </c>
      <c r="K186" s="103" t="s">
        <v>324</v>
      </c>
    </row>
    <row r="187" spans="1:11" s="102" customFormat="1" x14ac:dyDescent="0.25">
      <c r="A187" s="102" t="s">
        <v>75</v>
      </c>
      <c r="B187" s="102" t="s">
        <v>355</v>
      </c>
      <c r="C187" s="106" t="s">
        <v>325</v>
      </c>
      <c r="D187" s="103" t="s">
        <v>306</v>
      </c>
      <c r="E187" s="103" t="s">
        <v>43</v>
      </c>
      <c r="F187" s="103" t="s">
        <v>43</v>
      </c>
      <c r="G187" s="103" t="s">
        <v>43</v>
      </c>
      <c r="H187" s="103" t="s">
        <v>43</v>
      </c>
      <c r="I187" s="103" t="s">
        <v>15</v>
      </c>
      <c r="J187" s="103" t="s">
        <v>319</v>
      </c>
      <c r="K187" s="103" t="s">
        <v>326</v>
      </c>
    </row>
    <row r="188" spans="1:11" s="102" customFormat="1" x14ac:dyDescent="0.25">
      <c r="A188" s="102" t="s">
        <v>75</v>
      </c>
      <c r="B188" s="102" t="s">
        <v>355</v>
      </c>
      <c r="C188" s="106" t="s">
        <v>344</v>
      </c>
      <c r="D188" s="103" t="s">
        <v>306</v>
      </c>
      <c r="E188" s="103" t="s">
        <v>43</v>
      </c>
      <c r="F188" s="103" t="s">
        <v>43</v>
      </c>
      <c r="G188" s="103" t="s">
        <v>43</v>
      </c>
      <c r="H188" s="103" t="s">
        <v>306</v>
      </c>
      <c r="I188" s="103" t="s">
        <v>15</v>
      </c>
      <c r="J188" s="103" t="s">
        <v>641</v>
      </c>
      <c r="K188" s="103" t="s">
        <v>345</v>
      </c>
    </row>
    <row r="189" spans="1:11" s="102" customFormat="1" x14ac:dyDescent="0.25">
      <c r="A189" s="102" t="s">
        <v>75</v>
      </c>
      <c r="B189" s="102" t="s">
        <v>355</v>
      </c>
      <c r="C189" s="106" t="s">
        <v>353</v>
      </c>
      <c r="D189" s="103" t="s">
        <v>306</v>
      </c>
      <c r="E189" s="103" t="s">
        <v>303</v>
      </c>
      <c r="F189" s="103" t="s">
        <v>43</v>
      </c>
      <c r="G189" s="103" t="s">
        <v>43</v>
      </c>
      <c r="H189" s="103" t="s">
        <v>43</v>
      </c>
      <c r="I189" s="103" t="s">
        <v>15</v>
      </c>
      <c r="J189" s="103" t="s">
        <v>642</v>
      </c>
      <c r="K189" s="103" t="s">
        <v>354</v>
      </c>
    </row>
    <row r="190" spans="1:11" s="102" customFormat="1" x14ac:dyDescent="0.25">
      <c r="A190" s="102" t="s">
        <v>75</v>
      </c>
      <c r="B190" s="102" t="s">
        <v>469</v>
      </c>
      <c r="C190" s="102" t="s">
        <v>470</v>
      </c>
      <c r="D190" s="103" t="s">
        <v>13</v>
      </c>
      <c r="E190" s="103" t="s">
        <v>13</v>
      </c>
      <c r="F190" s="103" t="s">
        <v>14</v>
      </c>
      <c r="G190" s="103" t="s">
        <v>14</v>
      </c>
      <c r="H190" s="103" t="s">
        <v>14</v>
      </c>
      <c r="I190" s="103" t="s">
        <v>15</v>
      </c>
      <c r="J190" s="103" t="s">
        <v>471</v>
      </c>
      <c r="K190" s="103" t="s">
        <v>472</v>
      </c>
    </row>
    <row r="191" spans="1:11" s="102" customFormat="1" x14ac:dyDescent="0.25">
      <c r="A191" s="102" t="s">
        <v>75</v>
      </c>
      <c r="B191" s="102" t="s">
        <v>588</v>
      </c>
      <c r="C191" s="102" t="s">
        <v>173</v>
      </c>
      <c r="D191" s="103" t="s">
        <v>13</v>
      </c>
      <c r="E191" s="103" t="s">
        <v>13</v>
      </c>
      <c r="F191" s="103" t="s">
        <v>13</v>
      </c>
      <c r="G191" s="103"/>
      <c r="H191" s="103" t="s">
        <v>13</v>
      </c>
      <c r="I191" s="103" t="s">
        <v>15</v>
      </c>
      <c r="J191" s="103" t="s">
        <v>596</v>
      </c>
      <c r="K191" s="103" t="s">
        <v>597</v>
      </c>
    </row>
    <row r="192" spans="1:11" s="102" customFormat="1" x14ac:dyDescent="0.25">
      <c r="A192" s="102" t="s">
        <v>75</v>
      </c>
      <c r="B192" s="102" t="s">
        <v>588</v>
      </c>
      <c r="C192" s="102" t="s">
        <v>598</v>
      </c>
      <c r="D192" s="103" t="s">
        <v>13</v>
      </c>
      <c r="E192" s="103" t="s">
        <v>14</v>
      </c>
      <c r="F192" s="103" t="s">
        <v>14</v>
      </c>
      <c r="G192" s="103" t="s">
        <v>13</v>
      </c>
      <c r="H192" s="103" t="s">
        <v>13</v>
      </c>
      <c r="I192" s="103" t="s">
        <v>15</v>
      </c>
      <c r="J192" s="103" t="s">
        <v>599</v>
      </c>
      <c r="K192" s="103" t="s">
        <v>600</v>
      </c>
    </row>
    <row r="193" spans="1:11" s="102" customFormat="1" x14ac:dyDescent="0.25">
      <c r="A193" s="107" t="s">
        <v>75</v>
      </c>
      <c r="B193" s="102" t="s">
        <v>664</v>
      </c>
      <c r="C193" s="102" t="s">
        <v>656</v>
      </c>
      <c r="D193" s="103" t="s">
        <v>306</v>
      </c>
      <c r="E193" s="103" t="s">
        <v>43</v>
      </c>
      <c r="F193" s="103" t="s">
        <v>43</v>
      </c>
      <c r="G193" s="103" t="s">
        <v>43</v>
      </c>
      <c r="H193" s="103" t="s">
        <v>43</v>
      </c>
      <c r="I193" s="103" t="s">
        <v>657</v>
      </c>
      <c r="J193" s="103" t="s">
        <v>658</v>
      </c>
      <c r="K193" s="103"/>
    </row>
    <row r="194" spans="1:11" s="102" customFormat="1" x14ac:dyDescent="0.25">
      <c r="A194" s="107" t="s">
        <v>75</v>
      </c>
      <c r="B194" s="102" t="s">
        <v>664</v>
      </c>
      <c r="C194" s="102" t="s">
        <v>662</v>
      </c>
      <c r="D194" s="103" t="s">
        <v>306</v>
      </c>
      <c r="E194" s="103" t="s">
        <v>43</v>
      </c>
      <c r="F194" s="103" t="s">
        <v>43</v>
      </c>
      <c r="G194" s="103" t="s">
        <v>43</v>
      </c>
      <c r="H194" s="103" t="s">
        <v>43</v>
      </c>
      <c r="I194" s="103" t="s">
        <v>663</v>
      </c>
      <c r="J194" s="103" t="s">
        <v>658</v>
      </c>
      <c r="K194" s="103"/>
    </row>
    <row r="195" spans="1:11" s="75" customFormat="1" x14ac:dyDescent="0.25">
      <c r="A195" s="75" t="s">
        <v>187</v>
      </c>
      <c r="B195" s="75" t="s">
        <v>32</v>
      </c>
      <c r="C195" s="75" t="s">
        <v>33</v>
      </c>
      <c r="D195" s="76" t="s">
        <v>13</v>
      </c>
      <c r="E195" s="76" t="s">
        <v>14</v>
      </c>
      <c r="F195" s="76" t="s">
        <v>14</v>
      </c>
      <c r="G195" s="76" t="s">
        <v>14</v>
      </c>
      <c r="H195" s="76" t="s">
        <v>14</v>
      </c>
      <c r="I195" s="76" t="s">
        <v>15</v>
      </c>
      <c r="J195" s="76" t="s">
        <v>36</v>
      </c>
      <c r="K195" s="76" t="s">
        <v>37</v>
      </c>
    </row>
    <row r="196" spans="1:11" s="75" customFormat="1" x14ac:dyDescent="0.25">
      <c r="A196" s="75" t="s">
        <v>187</v>
      </c>
      <c r="B196" s="75" t="s">
        <v>186</v>
      </c>
      <c r="C196" s="75" t="s">
        <v>183</v>
      </c>
      <c r="D196" s="76" t="s">
        <v>14</v>
      </c>
      <c r="E196" s="76" t="s">
        <v>14</v>
      </c>
      <c r="F196" s="76" t="s">
        <v>14</v>
      </c>
      <c r="G196" s="76" t="s">
        <v>14</v>
      </c>
      <c r="H196" s="76" t="s">
        <v>14</v>
      </c>
      <c r="I196" s="76" t="s">
        <v>40</v>
      </c>
      <c r="J196" s="76" t="s">
        <v>184</v>
      </c>
      <c r="K196" s="76" t="s">
        <v>185</v>
      </c>
    </row>
    <row r="197" spans="1:11" s="75" customFormat="1" x14ac:dyDescent="0.25">
      <c r="A197" s="75" t="s">
        <v>187</v>
      </c>
      <c r="B197" s="75" t="s">
        <v>197</v>
      </c>
      <c r="C197" s="75" t="s">
        <v>193</v>
      </c>
      <c r="D197" s="76" t="s">
        <v>13</v>
      </c>
      <c r="E197" s="76" t="s">
        <v>14</v>
      </c>
      <c r="F197" s="76"/>
      <c r="G197" s="76" t="s">
        <v>14</v>
      </c>
      <c r="H197" s="76" t="s">
        <v>14</v>
      </c>
      <c r="I197" s="76" t="s">
        <v>15</v>
      </c>
      <c r="J197" s="76" t="s">
        <v>190</v>
      </c>
      <c r="K197" s="76" t="s">
        <v>194</v>
      </c>
    </row>
    <row r="198" spans="1:11" s="75" customFormat="1" x14ac:dyDescent="0.25">
      <c r="A198" s="75" t="s">
        <v>187</v>
      </c>
      <c r="B198" s="75" t="s">
        <v>197</v>
      </c>
      <c r="C198" s="75" t="s">
        <v>195</v>
      </c>
      <c r="D198" s="76" t="s">
        <v>13</v>
      </c>
      <c r="E198" s="76" t="s">
        <v>14</v>
      </c>
      <c r="F198" s="76"/>
      <c r="G198" s="76" t="s">
        <v>14</v>
      </c>
      <c r="H198" s="76" t="s">
        <v>14</v>
      </c>
      <c r="I198" s="76" t="s">
        <v>15</v>
      </c>
      <c r="J198" s="76" t="s">
        <v>190</v>
      </c>
      <c r="K198" s="76" t="s">
        <v>194</v>
      </c>
    </row>
    <row r="199" spans="1:11" s="75" customFormat="1" x14ac:dyDescent="0.25">
      <c r="A199" s="75" t="s">
        <v>187</v>
      </c>
      <c r="B199" s="75" t="s">
        <v>197</v>
      </c>
      <c r="C199" s="75" t="s">
        <v>196</v>
      </c>
      <c r="D199" s="76" t="s">
        <v>13</v>
      </c>
      <c r="E199" s="76" t="s">
        <v>14</v>
      </c>
      <c r="F199" s="76"/>
      <c r="G199" s="76" t="s">
        <v>14</v>
      </c>
      <c r="H199" s="76" t="s">
        <v>14</v>
      </c>
      <c r="I199" s="76" t="s">
        <v>15</v>
      </c>
      <c r="J199" s="76" t="s">
        <v>190</v>
      </c>
      <c r="K199" s="76" t="s">
        <v>194</v>
      </c>
    </row>
    <row r="200" spans="1:11" s="75" customFormat="1" x14ac:dyDescent="0.25">
      <c r="A200" s="75" t="s">
        <v>187</v>
      </c>
      <c r="B200" s="75" t="s">
        <v>267</v>
      </c>
      <c r="C200" s="75" t="s">
        <v>210</v>
      </c>
      <c r="D200" s="76" t="s">
        <v>14</v>
      </c>
      <c r="E200" s="76" t="s">
        <v>14</v>
      </c>
      <c r="F200" s="76" t="s">
        <v>14</v>
      </c>
      <c r="G200" s="76" t="s">
        <v>14</v>
      </c>
      <c r="H200" s="76" t="s">
        <v>14</v>
      </c>
      <c r="I200" s="76" t="s">
        <v>15</v>
      </c>
      <c r="J200" s="76" t="s">
        <v>199</v>
      </c>
      <c r="K200" s="76" t="s">
        <v>204</v>
      </c>
    </row>
    <row r="201" spans="1:11" s="75" customFormat="1" x14ac:dyDescent="0.25">
      <c r="A201" s="75" t="s">
        <v>187</v>
      </c>
      <c r="B201" s="75" t="s">
        <v>267</v>
      </c>
      <c r="C201" s="75" t="s">
        <v>214</v>
      </c>
      <c r="D201" s="76" t="s">
        <v>14</v>
      </c>
      <c r="E201" s="76" t="s">
        <v>14</v>
      </c>
      <c r="F201" s="76" t="s">
        <v>14</v>
      </c>
      <c r="G201" s="76" t="s">
        <v>14</v>
      </c>
      <c r="H201" s="76" t="s">
        <v>14</v>
      </c>
      <c r="I201" s="76" t="s">
        <v>15</v>
      </c>
      <c r="J201" s="76" t="s">
        <v>199</v>
      </c>
      <c r="K201" s="76"/>
    </row>
    <row r="202" spans="1:11" s="75" customFormat="1" x14ac:dyDescent="0.25">
      <c r="A202" s="75" t="s">
        <v>187</v>
      </c>
      <c r="B202" s="75" t="s">
        <v>267</v>
      </c>
      <c r="C202" s="75" t="s">
        <v>214</v>
      </c>
      <c r="D202" s="76" t="s">
        <v>14</v>
      </c>
      <c r="E202" s="76" t="s">
        <v>14</v>
      </c>
      <c r="F202" s="76" t="s">
        <v>14</v>
      </c>
      <c r="G202" s="76" t="s">
        <v>14</v>
      </c>
      <c r="H202" s="76" t="s">
        <v>14</v>
      </c>
      <c r="I202" s="76" t="s">
        <v>15</v>
      </c>
      <c r="J202" s="76" t="s">
        <v>199</v>
      </c>
      <c r="K202" s="76"/>
    </row>
    <row r="203" spans="1:11" s="75" customFormat="1" x14ac:dyDescent="0.25">
      <c r="A203" s="75" t="s">
        <v>187</v>
      </c>
      <c r="B203" s="75" t="s">
        <v>357</v>
      </c>
      <c r="C203" s="75" t="s">
        <v>367</v>
      </c>
      <c r="D203" s="76" t="s">
        <v>14</v>
      </c>
      <c r="E203" s="76" t="s">
        <v>14</v>
      </c>
      <c r="F203" s="76" t="s">
        <v>14</v>
      </c>
      <c r="G203" s="76" t="s">
        <v>14</v>
      </c>
      <c r="H203" s="76" t="s">
        <v>14</v>
      </c>
      <c r="I203" s="76" t="s">
        <v>15</v>
      </c>
      <c r="J203" s="76" t="s">
        <v>643</v>
      </c>
      <c r="K203" s="76" t="s">
        <v>368</v>
      </c>
    </row>
    <row r="204" spans="1:11" s="75" customFormat="1" x14ac:dyDescent="0.25">
      <c r="A204" s="75" t="s">
        <v>187</v>
      </c>
      <c r="B204" s="75" t="s">
        <v>442</v>
      </c>
      <c r="C204" s="75" t="s">
        <v>434</v>
      </c>
      <c r="D204" s="76"/>
      <c r="E204" s="76" t="s">
        <v>14</v>
      </c>
      <c r="F204" s="76" t="s">
        <v>14</v>
      </c>
      <c r="G204" s="76" t="s">
        <v>14</v>
      </c>
      <c r="H204" s="76" t="s">
        <v>14</v>
      </c>
      <c r="I204" s="76" t="s">
        <v>40</v>
      </c>
      <c r="J204" s="76"/>
      <c r="K204" s="76"/>
    </row>
    <row r="205" spans="1:11" s="75" customFormat="1" x14ac:dyDescent="0.25">
      <c r="A205" s="75" t="s">
        <v>187</v>
      </c>
      <c r="B205" s="75" t="s">
        <v>442</v>
      </c>
      <c r="C205" s="75" t="s">
        <v>438</v>
      </c>
      <c r="D205" s="76"/>
      <c r="E205" s="76" t="s">
        <v>14</v>
      </c>
      <c r="F205" s="76" t="s">
        <v>14</v>
      </c>
      <c r="G205" s="76" t="s">
        <v>14</v>
      </c>
      <c r="H205" s="76" t="s">
        <v>14</v>
      </c>
      <c r="I205" s="76" t="s">
        <v>256</v>
      </c>
      <c r="J205" s="76"/>
      <c r="K205" s="76"/>
    </row>
    <row r="206" spans="1:11" s="75" customFormat="1" x14ac:dyDescent="0.25">
      <c r="A206" s="75" t="s">
        <v>187</v>
      </c>
      <c r="B206" s="75" t="s">
        <v>588</v>
      </c>
      <c r="C206" s="75" t="s">
        <v>607</v>
      </c>
      <c r="D206" s="76" t="s">
        <v>13</v>
      </c>
      <c r="E206" s="76" t="s">
        <v>14</v>
      </c>
      <c r="F206" s="76" t="s">
        <v>14</v>
      </c>
      <c r="G206" s="76" t="s">
        <v>13</v>
      </c>
      <c r="H206" s="76" t="s">
        <v>13</v>
      </c>
      <c r="I206" s="76" t="s">
        <v>15</v>
      </c>
      <c r="J206" s="76" t="s">
        <v>608</v>
      </c>
      <c r="K206" s="76" t="s">
        <v>609</v>
      </c>
    </row>
    <row r="207" spans="1:11" s="75" customFormat="1" x14ac:dyDescent="0.25">
      <c r="A207" s="75" t="s">
        <v>187</v>
      </c>
      <c r="B207" s="75" t="s">
        <v>611</v>
      </c>
      <c r="C207" s="75" t="s">
        <v>616</v>
      </c>
      <c r="D207" s="76" t="s">
        <v>253</v>
      </c>
      <c r="E207" s="76" t="s">
        <v>253</v>
      </c>
      <c r="F207" s="76" t="s">
        <v>14</v>
      </c>
      <c r="G207" s="76" t="s">
        <v>14</v>
      </c>
      <c r="H207" s="76" t="s">
        <v>14</v>
      </c>
      <c r="I207" s="76" t="s">
        <v>15</v>
      </c>
      <c r="J207" s="76" t="s">
        <v>617</v>
      </c>
      <c r="K207" s="76" t="s">
        <v>618</v>
      </c>
    </row>
    <row r="208" spans="1:11" s="53" customFormat="1" x14ac:dyDescent="0.25">
      <c r="A208" s="53" t="s">
        <v>402</v>
      </c>
      <c r="B208" s="53" t="s">
        <v>399</v>
      </c>
      <c r="C208" s="53" t="s">
        <v>401</v>
      </c>
      <c r="D208" s="89" t="s">
        <v>14</v>
      </c>
      <c r="E208" s="89" t="s">
        <v>13</v>
      </c>
      <c r="F208" s="89" t="s">
        <v>14</v>
      </c>
      <c r="G208" s="89" t="s">
        <v>14</v>
      </c>
      <c r="H208" s="89" t="s">
        <v>13</v>
      </c>
      <c r="I208" s="89" t="s">
        <v>403</v>
      </c>
      <c r="J208" s="89"/>
      <c r="K208" s="89"/>
    </row>
    <row r="209" spans="1:11" s="53" customFormat="1" x14ac:dyDescent="0.25">
      <c r="A209" s="53" t="s">
        <v>402</v>
      </c>
      <c r="B209" s="53" t="s">
        <v>399</v>
      </c>
      <c r="C209" s="53" t="s">
        <v>404</v>
      </c>
      <c r="D209" s="89" t="s">
        <v>14</v>
      </c>
      <c r="E209" s="89" t="s">
        <v>13</v>
      </c>
      <c r="F209" s="89" t="s">
        <v>14</v>
      </c>
      <c r="G209" s="89" t="s">
        <v>14</v>
      </c>
      <c r="H209" s="89" t="s">
        <v>13</v>
      </c>
      <c r="I209" s="89" t="s">
        <v>403</v>
      </c>
      <c r="J209" s="89"/>
      <c r="K209" s="89"/>
    </row>
    <row r="210" spans="1:11" s="53" customFormat="1" x14ac:dyDescent="0.25">
      <c r="A210" s="53" t="s">
        <v>402</v>
      </c>
      <c r="B210" s="53" t="s">
        <v>631</v>
      </c>
      <c r="C210" s="53" t="s">
        <v>623</v>
      </c>
      <c r="D210" s="89" t="s">
        <v>13</v>
      </c>
      <c r="E210" s="89" t="s">
        <v>14</v>
      </c>
      <c r="F210" s="89" t="s">
        <v>13</v>
      </c>
      <c r="G210" s="89" t="s">
        <v>35</v>
      </c>
      <c r="H210" s="89" t="s">
        <v>14</v>
      </c>
      <c r="I210" s="89" t="s">
        <v>15</v>
      </c>
      <c r="J210" s="89" t="s">
        <v>624</v>
      </c>
      <c r="K210" s="89" t="s">
        <v>625</v>
      </c>
    </row>
    <row r="211" spans="1:11" s="53" customFormat="1" x14ac:dyDescent="0.25">
      <c r="A211" s="53" t="s">
        <v>402</v>
      </c>
      <c r="B211" s="53" t="s">
        <v>631</v>
      </c>
      <c r="C211" s="53" t="s">
        <v>626</v>
      </c>
      <c r="D211" s="89" t="s">
        <v>13</v>
      </c>
      <c r="E211" s="89" t="s">
        <v>14</v>
      </c>
      <c r="F211" s="89" t="s">
        <v>13</v>
      </c>
      <c r="G211" s="89" t="s">
        <v>35</v>
      </c>
      <c r="H211" s="89" t="s">
        <v>14</v>
      </c>
      <c r="I211" s="89" t="s">
        <v>15</v>
      </c>
      <c r="J211" s="89" t="s">
        <v>624</v>
      </c>
      <c r="K211" s="89" t="s">
        <v>627</v>
      </c>
    </row>
    <row r="212" spans="1:11" s="53" customFormat="1" x14ac:dyDescent="0.25">
      <c r="A212" s="53" t="s">
        <v>402</v>
      </c>
      <c r="B212" s="53" t="s">
        <v>631</v>
      </c>
      <c r="C212" s="53" t="s">
        <v>628</v>
      </c>
      <c r="D212" s="89" t="s">
        <v>13</v>
      </c>
      <c r="E212" s="89" t="s">
        <v>14</v>
      </c>
      <c r="F212" s="89" t="s">
        <v>13</v>
      </c>
      <c r="G212" s="89" t="s">
        <v>35</v>
      </c>
      <c r="H212" s="89" t="s">
        <v>14</v>
      </c>
      <c r="I212" s="89" t="s">
        <v>15</v>
      </c>
      <c r="J212" s="89" t="s">
        <v>624</v>
      </c>
      <c r="K212" s="89" t="s">
        <v>629</v>
      </c>
    </row>
    <row r="213" spans="1:11" s="121" customFormat="1" x14ac:dyDescent="0.25">
      <c r="A213" s="121" t="s">
        <v>572</v>
      </c>
      <c r="B213" s="121" t="s">
        <v>513</v>
      </c>
      <c r="C213" s="121" t="s">
        <v>571</v>
      </c>
      <c r="D213" s="122" t="s">
        <v>253</v>
      </c>
      <c r="E213" s="122" t="s">
        <v>14</v>
      </c>
      <c r="F213" s="122" t="s">
        <v>14</v>
      </c>
      <c r="G213" s="122" t="s">
        <v>14</v>
      </c>
      <c r="H213" s="122" t="s">
        <v>14</v>
      </c>
      <c r="I213" s="122" t="s">
        <v>15</v>
      </c>
      <c r="J213" s="122" t="s">
        <v>573</v>
      </c>
      <c r="K213" s="122" t="s">
        <v>574</v>
      </c>
    </row>
    <row r="214" spans="1:11" s="121" customFormat="1" x14ac:dyDescent="0.25">
      <c r="A214" s="121" t="s">
        <v>572</v>
      </c>
      <c r="B214" s="121" t="s">
        <v>513</v>
      </c>
      <c r="C214" s="121" t="s">
        <v>575</v>
      </c>
      <c r="D214" s="122" t="s">
        <v>253</v>
      </c>
      <c r="E214" s="122" t="s">
        <v>14</v>
      </c>
      <c r="F214" s="122" t="s">
        <v>14</v>
      </c>
      <c r="G214" s="122" t="s">
        <v>14</v>
      </c>
      <c r="H214" s="122" t="s">
        <v>14</v>
      </c>
      <c r="I214" s="122" t="s">
        <v>15</v>
      </c>
      <c r="J214" s="122" t="s">
        <v>576</v>
      </c>
      <c r="K214" s="122" t="s">
        <v>577</v>
      </c>
    </row>
    <row r="215" spans="1:11" s="50" customFormat="1" x14ac:dyDescent="0.25">
      <c r="A215" s="50" t="s">
        <v>129</v>
      </c>
      <c r="B215" s="50" t="s">
        <v>142</v>
      </c>
      <c r="C215" s="50" t="s">
        <v>128</v>
      </c>
      <c r="D215" s="74" t="s">
        <v>13</v>
      </c>
      <c r="E215" s="74" t="s">
        <v>14</v>
      </c>
      <c r="F215" s="74" t="s">
        <v>14</v>
      </c>
      <c r="G215" s="74" t="s">
        <v>13</v>
      </c>
      <c r="H215" s="74" t="s">
        <v>14</v>
      </c>
      <c r="I215" s="74" t="s">
        <v>15</v>
      </c>
      <c r="J215" s="74" t="s">
        <v>130</v>
      </c>
      <c r="K215" s="74"/>
    </row>
    <row r="216" spans="1:11" s="50" customFormat="1" x14ac:dyDescent="0.25">
      <c r="A216" s="50" t="s">
        <v>129</v>
      </c>
      <c r="B216" s="50" t="s">
        <v>142</v>
      </c>
      <c r="C216" s="50" t="s">
        <v>131</v>
      </c>
      <c r="D216" s="74" t="s">
        <v>13</v>
      </c>
      <c r="E216" s="74" t="s">
        <v>14</v>
      </c>
      <c r="F216" s="74" t="s">
        <v>14</v>
      </c>
      <c r="G216" s="74" t="s">
        <v>13</v>
      </c>
      <c r="H216" s="74" t="s">
        <v>14</v>
      </c>
      <c r="I216" s="74" t="s">
        <v>15</v>
      </c>
      <c r="J216" s="74" t="s">
        <v>132</v>
      </c>
      <c r="K216" s="74"/>
    </row>
    <row r="217" spans="1:11" s="50" customFormat="1" x14ac:dyDescent="0.25">
      <c r="A217" s="50" t="s">
        <v>129</v>
      </c>
      <c r="B217" s="50" t="s">
        <v>142</v>
      </c>
      <c r="C217" s="50" t="s">
        <v>138</v>
      </c>
      <c r="D217" s="74" t="s">
        <v>13</v>
      </c>
      <c r="E217" s="74" t="s">
        <v>14</v>
      </c>
      <c r="F217" s="74" t="s">
        <v>14</v>
      </c>
      <c r="G217" s="74" t="s">
        <v>13</v>
      </c>
      <c r="H217" s="74" t="s">
        <v>13</v>
      </c>
      <c r="I217" s="74" t="s">
        <v>15</v>
      </c>
      <c r="J217" s="74" t="s">
        <v>139</v>
      </c>
      <c r="K217" s="74"/>
    </row>
    <row r="218" spans="1:11" s="50" customFormat="1" x14ac:dyDescent="0.25">
      <c r="A218" s="50" t="s">
        <v>129</v>
      </c>
      <c r="B218" s="50" t="s">
        <v>442</v>
      </c>
      <c r="C218" s="50" t="s">
        <v>437</v>
      </c>
      <c r="D218" s="74"/>
      <c r="E218" s="74" t="s">
        <v>14</v>
      </c>
      <c r="F218" s="74" t="s">
        <v>14</v>
      </c>
      <c r="G218" s="74" t="s">
        <v>14</v>
      </c>
      <c r="H218" s="74" t="s">
        <v>14</v>
      </c>
      <c r="I218" s="74" t="s">
        <v>403</v>
      </c>
      <c r="J218" s="74"/>
      <c r="K218" s="74"/>
    </row>
    <row r="219" spans="1:11" s="59" customFormat="1" x14ac:dyDescent="0.25">
      <c r="A219" s="59" t="s">
        <v>12</v>
      </c>
      <c r="B219" s="59" t="s">
        <v>31</v>
      </c>
      <c r="C219" s="59" t="s">
        <v>11</v>
      </c>
      <c r="D219" s="84" t="s">
        <v>13</v>
      </c>
      <c r="E219" s="84" t="s">
        <v>14</v>
      </c>
      <c r="F219" s="84" t="s">
        <v>14</v>
      </c>
      <c r="G219" s="84" t="s">
        <v>14</v>
      </c>
      <c r="H219" s="84" t="s">
        <v>14</v>
      </c>
      <c r="I219" s="84" t="s">
        <v>15</v>
      </c>
      <c r="J219" s="84" t="s">
        <v>16</v>
      </c>
      <c r="K219" s="84" t="s">
        <v>17</v>
      </c>
    </row>
    <row r="220" spans="1:11" s="59" customFormat="1" x14ac:dyDescent="0.25">
      <c r="A220" s="59" t="s">
        <v>12</v>
      </c>
      <c r="B220" s="59" t="s">
        <v>31</v>
      </c>
      <c r="C220" s="59" t="s">
        <v>18</v>
      </c>
      <c r="D220" s="84" t="s">
        <v>13</v>
      </c>
      <c r="E220" s="84" t="s">
        <v>14</v>
      </c>
      <c r="F220" s="84" t="s">
        <v>14</v>
      </c>
      <c r="G220" s="84" t="s">
        <v>14</v>
      </c>
      <c r="H220" s="84" t="s">
        <v>14</v>
      </c>
      <c r="I220" s="84" t="s">
        <v>15</v>
      </c>
      <c r="J220" s="84" t="s">
        <v>16</v>
      </c>
      <c r="K220" s="84" t="s">
        <v>19</v>
      </c>
    </row>
    <row r="221" spans="1:11" s="59" customFormat="1" x14ac:dyDescent="0.25">
      <c r="A221" s="59" t="s">
        <v>12</v>
      </c>
      <c r="B221" s="59" t="s">
        <v>31</v>
      </c>
      <c r="C221" s="59" t="s">
        <v>20</v>
      </c>
      <c r="D221" s="84" t="s">
        <v>13</v>
      </c>
      <c r="E221" s="84" t="s">
        <v>14</v>
      </c>
      <c r="F221" s="84" t="s">
        <v>14</v>
      </c>
      <c r="G221" s="84" t="s">
        <v>14</v>
      </c>
      <c r="H221" s="84" t="s">
        <v>14</v>
      </c>
      <c r="I221" s="84" t="s">
        <v>15</v>
      </c>
      <c r="J221" s="84" t="s">
        <v>16</v>
      </c>
      <c r="K221" s="84" t="s">
        <v>21</v>
      </c>
    </row>
    <row r="222" spans="1:11" s="59" customFormat="1" x14ac:dyDescent="0.25">
      <c r="A222" s="59" t="s">
        <v>12</v>
      </c>
      <c r="B222" s="59" t="s">
        <v>31</v>
      </c>
      <c r="C222" s="59" t="s">
        <v>22</v>
      </c>
      <c r="D222" s="84" t="s">
        <v>13</v>
      </c>
      <c r="E222" s="84" t="s">
        <v>14</v>
      </c>
      <c r="F222" s="84" t="s">
        <v>14</v>
      </c>
      <c r="G222" s="84" t="s">
        <v>14</v>
      </c>
      <c r="H222" s="84" t="s">
        <v>14</v>
      </c>
      <c r="I222" s="84" t="s">
        <v>15</v>
      </c>
      <c r="J222" s="84" t="s">
        <v>16</v>
      </c>
      <c r="K222" s="84" t="s">
        <v>23</v>
      </c>
    </row>
    <row r="223" spans="1:11" s="59" customFormat="1" x14ac:dyDescent="0.25">
      <c r="A223" s="59" t="s">
        <v>12</v>
      </c>
      <c r="B223" s="59" t="s">
        <v>31</v>
      </c>
      <c r="C223" s="59" t="s">
        <v>24</v>
      </c>
      <c r="D223" s="84" t="s">
        <v>13</v>
      </c>
      <c r="E223" s="84" t="s">
        <v>14</v>
      </c>
      <c r="F223" s="84" t="s">
        <v>14</v>
      </c>
      <c r="G223" s="84" t="s">
        <v>14</v>
      </c>
      <c r="H223" s="84" t="s">
        <v>14</v>
      </c>
      <c r="I223" s="84" t="s">
        <v>15</v>
      </c>
      <c r="J223" s="84" t="s">
        <v>16</v>
      </c>
      <c r="K223" s="84" t="s">
        <v>25</v>
      </c>
    </row>
    <row r="224" spans="1:11" s="59" customFormat="1" x14ac:dyDescent="0.25">
      <c r="A224" s="59" t="s">
        <v>12</v>
      </c>
      <c r="B224" s="59" t="s">
        <v>31</v>
      </c>
      <c r="C224" s="59" t="s">
        <v>26</v>
      </c>
      <c r="D224" s="84" t="s">
        <v>13</v>
      </c>
      <c r="E224" s="84" t="s">
        <v>14</v>
      </c>
      <c r="F224" s="84" t="s">
        <v>14</v>
      </c>
      <c r="G224" s="84" t="s">
        <v>14</v>
      </c>
      <c r="H224" s="84" t="s">
        <v>14</v>
      </c>
      <c r="I224" s="84" t="s">
        <v>15</v>
      </c>
      <c r="J224" s="84" t="s">
        <v>27</v>
      </c>
      <c r="K224" s="84" t="s">
        <v>28</v>
      </c>
    </row>
    <row r="225" spans="1:11" s="59" customFormat="1" x14ac:dyDescent="0.25">
      <c r="A225" s="59" t="s">
        <v>12</v>
      </c>
      <c r="B225" s="59" t="s">
        <v>31</v>
      </c>
      <c r="C225" s="59" t="s">
        <v>29</v>
      </c>
      <c r="D225" s="84" t="s">
        <v>13</v>
      </c>
      <c r="E225" s="84" t="s">
        <v>14</v>
      </c>
      <c r="F225" s="84" t="s">
        <v>13</v>
      </c>
      <c r="G225" s="84" t="s">
        <v>13</v>
      </c>
      <c r="H225" s="84" t="s">
        <v>14</v>
      </c>
      <c r="I225" s="84" t="s">
        <v>15</v>
      </c>
      <c r="J225" s="84" t="s">
        <v>16</v>
      </c>
      <c r="K225" s="84" t="s">
        <v>30</v>
      </c>
    </row>
    <row r="226" spans="1:11" s="59" customFormat="1" x14ac:dyDescent="0.25">
      <c r="A226" s="59" t="s">
        <v>12</v>
      </c>
      <c r="B226" s="59" t="s">
        <v>69</v>
      </c>
      <c r="C226" s="59" t="s">
        <v>63</v>
      </c>
      <c r="D226" s="84" t="s">
        <v>13</v>
      </c>
      <c r="E226" s="84" t="s">
        <v>14</v>
      </c>
      <c r="F226" s="84" t="s">
        <v>14</v>
      </c>
      <c r="G226" s="84" t="s">
        <v>14</v>
      </c>
      <c r="H226" s="84" t="s">
        <v>14</v>
      </c>
      <c r="I226" s="84" t="s">
        <v>15</v>
      </c>
      <c r="J226" s="84" t="s">
        <v>64</v>
      </c>
      <c r="K226" s="84" t="s">
        <v>65</v>
      </c>
    </row>
    <row r="227" spans="1:11" s="59" customFormat="1" x14ac:dyDescent="0.25">
      <c r="A227" s="59" t="s">
        <v>12</v>
      </c>
      <c r="B227" s="59" t="s">
        <v>142</v>
      </c>
      <c r="C227" s="59" t="s">
        <v>136</v>
      </c>
      <c r="D227" s="84" t="s">
        <v>14</v>
      </c>
      <c r="E227" s="84" t="s">
        <v>14</v>
      </c>
      <c r="F227" s="84" t="s">
        <v>14</v>
      </c>
      <c r="G227" s="84" t="s">
        <v>14</v>
      </c>
      <c r="H227" s="84" t="s">
        <v>14</v>
      </c>
      <c r="I227" s="84" t="s">
        <v>15</v>
      </c>
      <c r="J227" s="84" t="s">
        <v>137</v>
      </c>
      <c r="K227" s="84"/>
    </row>
    <row r="228" spans="1:11" s="59" customFormat="1" x14ac:dyDescent="0.25">
      <c r="A228" s="59" t="s">
        <v>12</v>
      </c>
      <c r="B228" s="59" t="s">
        <v>142</v>
      </c>
      <c r="C228" s="59" t="s">
        <v>140</v>
      </c>
      <c r="D228" s="84" t="s">
        <v>13</v>
      </c>
      <c r="E228" s="84" t="s">
        <v>14</v>
      </c>
      <c r="F228" s="84" t="s">
        <v>14</v>
      </c>
      <c r="G228" s="84" t="s">
        <v>13</v>
      </c>
      <c r="H228" s="84" t="s">
        <v>14</v>
      </c>
      <c r="I228" s="84" t="s">
        <v>15</v>
      </c>
      <c r="J228" s="84" t="s">
        <v>140</v>
      </c>
      <c r="K228" s="84"/>
    </row>
    <row r="229" spans="1:11" s="59" customFormat="1" x14ac:dyDescent="0.25">
      <c r="A229" s="59" t="s">
        <v>12</v>
      </c>
      <c r="B229" s="59" t="s">
        <v>172</v>
      </c>
      <c r="C229" s="59" t="s">
        <v>143</v>
      </c>
      <c r="D229" s="84" t="s">
        <v>14</v>
      </c>
      <c r="E229" s="84" t="s">
        <v>14</v>
      </c>
      <c r="F229" s="84" t="s">
        <v>14</v>
      </c>
      <c r="G229" s="84" t="s">
        <v>14</v>
      </c>
      <c r="H229" s="84" t="s">
        <v>14</v>
      </c>
      <c r="I229" s="84" t="s">
        <v>15</v>
      </c>
      <c r="J229" s="84" t="s">
        <v>144</v>
      </c>
      <c r="K229" s="84" t="s">
        <v>145</v>
      </c>
    </row>
    <row r="230" spans="1:11" s="59" customFormat="1" x14ac:dyDescent="0.25">
      <c r="A230" s="59" t="s">
        <v>12</v>
      </c>
      <c r="B230" s="59" t="s">
        <v>172</v>
      </c>
      <c r="C230" s="59" t="s">
        <v>146</v>
      </c>
      <c r="D230" s="84" t="s">
        <v>13</v>
      </c>
      <c r="E230" s="84" t="s">
        <v>14</v>
      </c>
      <c r="F230" s="84" t="s">
        <v>14</v>
      </c>
      <c r="G230" s="84" t="s">
        <v>14</v>
      </c>
      <c r="H230" s="84" t="s">
        <v>14</v>
      </c>
      <c r="I230" s="84" t="s">
        <v>15</v>
      </c>
      <c r="J230" s="84" t="s">
        <v>147</v>
      </c>
      <c r="K230" s="84" t="s">
        <v>148</v>
      </c>
    </row>
    <row r="231" spans="1:11" s="59" customFormat="1" x14ac:dyDescent="0.25">
      <c r="A231" s="59" t="s">
        <v>12</v>
      </c>
      <c r="B231" s="59" t="s">
        <v>172</v>
      </c>
      <c r="C231" s="59" t="s">
        <v>166</v>
      </c>
      <c r="D231" s="84" t="s">
        <v>14</v>
      </c>
      <c r="E231" s="84" t="s">
        <v>14</v>
      </c>
      <c r="F231" s="84" t="s">
        <v>167</v>
      </c>
      <c r="G231" s="84" t="s">
        <v>13</v>
      </c>
      <c r="H231" s="84" t="s">
        <v>13</v>
      </c>
      <c r="I231" s="84" t="s">
        <v>15</v>
      </c>
      <c r="J231" s="84" t="s">
        <v>168</v>
      </c>
      <c r="K231" s="84" t="s">
        <v>169</v>
      </c>
    </row>
    <row r="232" spans="1:11" s="59" customFormat="1" x14ac:dyDescent="0.25">
      <c r="A232" s="59" t="s">
        <v>12</v>
      </c>
      <c r="B232" s="59" t="s">
        <v>267</v>
      </c>
      <c r="C232" s="59" t="s">
        <v>223</v>
      </c>
      <c r="D232" s="84" t="s">
        <v>14</v>
      </c>
      <c r="E232" s="84" t="s">
        <v>13</v>
      </c>
      <c r="F232" s="84" t="s">
        <v>14</v>
      </c>
      <c r="G232" s="84" t="s">
        <v>13</v>
      </c>
      <c r="H232" s="84" t="s">
        <v>14</v>
      </c>
      <c r="I232" s="84" t="s">
        <v>15</v>
      </c>
      <c r="J232" s="84" t="s">
        <v>199</v>
      </c>
      <c r="K232" s="84"/>
    </row>
    <row r="233" spans="1:11" s="59" customFormat="1" x14ac:dyDescent="0.25">
      <c r="A233" s="59" t="s">
        <v>12</v>
      </c>
      <c r="B233" s="59" t="s">
        <v>442</v>
      </c>
      <c r="C233" s="59" t="s">
        <v>433</v>
      </c>
      <c r="D233" s="84"/>
      <c r="E233" s="84" t="s">
        <v>14</v>
      </c>
      <c r="F233" s="84" t="s">
        <v>14</v>
      </c>
      <c r="G233" s="84" t="s">
        <v>14</v>
      </c>
      <c r="H233" s="84" t="s">
        <v>14</v>
      </c>
      <c r="I233" s="84" t="s">
        <v>403</v>
      </c>
      <c r="J233" s="84"/>
      <c r="K233" s="84"/>
    </row>
    <row r="234" spans="1:11" s="59" customFormat="1" x14ac:dyDescent="0.25">
      <c r="A234" s="59" t="s">
        <v>12</v>
      </c>
      <c r="B234" s="59" t="s">
        <v>447</v>
      </c>
      <c r="C234" s="59" t="s">
        <v>444</v>
      </c>
      <c r="D234" s="84" t="s">
        <v>14</v>
      </c>
      <c r="E234" s="84" t="s">
        <v>14</v>
      </c>
      <c r="F234" s="84" t="s">
        <v>14</v>
      </c>
      <c r="G234" s="84" t="s">
        <v>14</v>
      </c>
      <c r="H234" s="84" t="s">
        <v>13</v>
      </c>
      <c r="I234" s="84" t="s">
        <v>40</v>
      </c>
      <c r="J234" s="84" t="s">
        <v>445</v>
      </c>
      <c r="K234" s="84" t="s">
        <v>446</v>
      </c>
    </row>
    <row r="235" spans="1:11" s="59" customFormat="1" x14ac:dyDescent="0.25">
      <c r="A235" s="59" t="s">
        <v>12</v>
      </c>
      <c r="B235" s="59" t="s">
        <v>448</v>
      </c>
      <c r="C235" s="59" t="s">
        <v>449</v>
      </c>
      <c r="D235" s="84" t="s">
        <v>14</v>
      </c>
      <c r="E235" s="84" t="s">
        <v>13</v>
      </c>
      <c r="F235" s="84" t="s">
        <v>14</v>
      </c>
      <c r="G235" s="84" t="s">
        <v>13</v>
      </c>
      <c r="H235" s="84" t="s">
        <v>14</v>
      </c>
      <c r="I235" s="84" t="s">
        <v>15</v>
      </c>
      <c r="J235" s="84" t="s">
        <v>450</v>
      </c>
      <c r="K235" s="84" t="s">
        <v>451</v>
      </c>
    </row>
    <row r="236" spans="1:11" s="108" customFormat="1" x14ac:dyDescent="0.25">
      <c r="A236" s="108" t="s">
        <v>466</v>
      </c>
      <c r="B236" s="108" t="s">
        <v>464</v>
      </c>
      <c r="C236" s="108" t="s">
        <v>465</v>
      </c>
      <c r="D236" s="109" t="s">
        <v>14</v>
      </c>
      <c r="E236" s="109" t="s">
        <v>13</v>
      </c>
      <c r="F236" s="109" t="s">
        <v>14</v>
      </c>
      <c r="G236" s="109" t="s">
        <v>14</v>
      </c>
      <c r="H236" s="109" t="s">
        <v>14</v>
      </c>
      <c r="I236" s="109" t="s">
        <v>15</v>
      </c>
      <c r="J236" s="109" t="s">
        <v>467</v>
      </c>
      <c r="K236" s="109" t="s">
        <v>468</v>
      </c>
    </row>
    <row r="237" spans="1:11" s="108" customFormat="1" x14ac:dyDescent="0.25">
      <c r="A237" s="108" t="s">
        <v>466</v>
      </c>
      <c r="B237" s="108" t="s">
        <v>512</v>
      </c>
      <c r="C237" s="108" t="s">
        <v>504</v>
      </c>
      <c r="D237" s="109" t="s">
        <v>253</v>
      </c>
      <c r="E237" s="109" t="s">
        <v>14</v>
      </c>
      <c r="F237" s="109" t="s">
        <v>14</v>
      </c>
      <c r="G237" s="109" t="s">
        <v>13</v>
      </c>
      <c r="H237" s="109" t="s">
        <v>14</v>
      </c>
      <c r="I237" s="109" t="s">
        <v>256</v>
      </c>
      <c r="J237" s="109"/>
      <c r="K237" s="109" t="s">
        <v>505</v>
      </c>
    </row>
    <row r="238" spans="1:11" s="108" customFormat="1" ht="16.149999999999999" customHeight="1" x14ac:dyDescent="0.25">
      <c r="A238" s="108" t="s">
        <v>466</v>
      </c>
      <c r="B238" s="108" t="s">
        <v>668</v>
      </c>
      <c r="C238" s="108" t="s">
        <v>665</v>
      </c>
      <c r="D238" s="109" t="s">
        <v>13</v>
      </c>
      <c r="E238" s="109" t="s">
        <v>14</v>
      </c>
      <c r="F238" s="109" t="s">
        <v>14</v>
      </c>
      <c r="G238" s="109" t="s">
        <v>14</v>
      </c>
      <c r="H238" s="109" t="s">
        <v>13</v>
      </c>
      <c r="I238" s="109" t="s">
        <v>15</v>
      </c>
      <c r="J238" s="109" t="s">
        <v>666</v>
      </c>
      <c r="K238" s="110" t="s">
        <v>667</v>
      </c>
    </row>
    <row r="239" spans="1:11" s="111" customFormat="1" x14ac:dyDescent="0.25">
      <c r="A239" s="111" t="s">
        <v>269</v>
      </c>
      <c r="B239" s="111" t="s">
        <v>278</v>
      </c>
      <c r="C239" s="111" t="s">
        <v>268</v>
      </c>
      <c r="D239" s="112" t="s">
        <v>14</v>
      </c>
      <c r="E239" s="112" t="s">
        <v>14</v>
      </c>
      <c r="F239" s="112" t="s">
        <v>14</v>
      </c>
      <c r="G239" s="112" t="s">
        <v>14</v>
      </c>
      <c r="H239" s="112" t="s">
        <v>14</v>
      </c>
      <c r="I239" s="112" t="s">
        <v>15</v>
      </c>
      <c r="J239" s="112" t="s">
        <v>270</v>
      </c>
      <c r="K239" s="112"/>
    </row>
    <row r="240" spans="1:11" s="111" customFormat="1" x14ac:dyDescent="0.25">
      <c r="A240" s="111" t="s">
        <v>269</v>
      </c>
      <c r="B240" s="111" t="s">
        <v>278</v>
      </c>
      <c r="C240" s="111" t="s">
        <v>271</v>
      </c>
      <c r="D240" s="112" t="s">
        <v>14</v>
      </c>
      <c r="E240" s="112" t="s">
        <v>14</v>
      </c>
      <c r="F240" s="112" t="s">
        <v>14</v>
      </c>
      <c r="G240" s="112" t="s">
        <v>14</v>
      </c>
      <c r="H240" s="112" t="s">
        <v>14</v>
      </c>
      <c r="I240" s="112" t="s">
        <v>15</v>
      </c>
      <c r="J240" s="112" t="s">
        <v>272</v>
      </c>
      <c r="K240" s="112"/>
    </row>
    <row r="241" spans="1:11" s="111" customFormat="1" x14ac:dyDescent="0.25">
      <c r="A241" s="111" t="s">
        <v>269</v>
      </c>
      <c r="B241" s="111" t="s">
        <v>278</v>
      </c>
      <c r="C241" s="111" t="s">
        <v>273</v>
      </c>
      <c r="D241" s="112" t="s">
        <v>14</v>
      </c>
      <c r="E241" s="112" t="s">
        <v>14</v>
      </c>
      <c r="F241" s="112" t="s">
        <v>14</v>
      </c>
      <c r="G241" s="112" t="s">
        <v>14</v>
      </c>
      <c r="H241" s="112" t="s">
        <v>14</v>
      </c>
      <c r="I241" s="112" t="s">
        <v>15</v>
      </c>
      <c r="J241" s="112" t="s">
        <v>272</v>
      </c>
      <c r="K241" s="112"/>
    </row>
    <row r="242" spans="1:11" s="111" customFormat="1" x14ac:dyDescent="0.25">
      <c r="A242" s="111" t="s">
        <v>269</v>
      </c>
      <c r="B242" s="111" t="s">
        <v>278</v>
      </c>
      <c r="C242" s="111" t="s">
        <v>274</v>
      </c>
      <c r="D242" s="112" t="s">
        <v>14</v>
      </c>
      <c r="E242" s="112" t="s">
        <v>14</v>
      </c>
      <c r="F242" s="112" t="s">
        <v>14</v>
      </c>
      <c r="G242" s="112" t="s">
        <v>14</v>
      </c>
      <c r="H242" s="112" t="s">
        <v>14</v>
      </c>
      <c r="I242" s="112" t="s">
        <v>15</v>
      </c>
      <c r="J242" s="112" t="s">
        <v>275</v>
      </c>
      <c r="K242" s="112"/>
    </row>
    <row r="243" spans="1:11" s="111" customFormat="1" x14ac:dyDescent="0.25">
      <c r="A243" s="111" t="s">
        <v>269</v>
      </c>
      <c r="B243" s="111" t="s">
        <v>357</v>
      </c>
      <c r="C243" s="111" t="s">
        <v>369</v>
      </c>
      <c r="D243" s="112" t="s">
        <v>14</v>
      </c>
      <c r="E243" s="112" t="s">
        <v>14</v>
      </c>
      <c r="F243" s="112" t="s">
        <v>14</v>
      </c>
      <c r="G243" s="112" t="s">
        <v>14</v>
      </c>
      <c r="H243" s="112" t="s">
        <v>14</v>
      </c>
      <c r="I243" s="112" t="s">
        <v>15</v>
      </c>
      <c r="J243" s="112" t="s">
        <v>644</v>
      </c>
      <c r="K243" s="112" t="s">
        <v>370</v>
      </c>
    </row>
    <row r="244" spans="1:11" s="111" customFormat="1" x14ac:dyDescent="0.25">
      <c r="A244" s="111" t="s">
        <v>269</v>
      </c>
      <c r="B244" s="111" t="s">
        <v>398</v>
      </c>
      <c r="C244" s="111" t="s">
        <v>394</v>
      </c>
      <c r="D244" s="112"/>
      <c r="E244" s="112" t="s">
        <v>253</v>
      </c>
      <c r="F244" s="112" t="s">
        <v>253</v>
      </c>
      <c r="G244" s="112" t="s">
        <v>14</v>
      </c>
      <c r="H244" s="112" t="s">
        <v>14</v>
      </c>
      <c r="I244" s="112" t="s">
        <v>256</v>
      </c>
      <c r="J244" s="112"/>
      <c r="K244" s="112" t="s">
        <v>652</v>
      </c>
    </row>
    <row r="245" spans="1:11" s="111" customFormat="1" x14ac:dyDescent="0.25">
      <c r="A245" s="111" t="s">
        <v>269</v>
      </c>
      <c r="B245" s="111" t="s">
        <v>398</v>
      </c>
      <c r="C245" s="111" t="s">
        <v>395</v>
      </c>
      <c r="D245" s="112"/>
      <c r="E245" s="112" t="s">
        <v>253</v>
      </c>
      <c r="F245" s="112" t="s">
        <v>253</v>
      </c>
      <c r="G245" s="112" t="s">
        <v>14</v>
      </c>
      <c r="H245" s="112" t="s">
        <v>14</v>
      </c>
      <c r="I245" s="112" t="s">
        <v>396</v>
      </c>
      <c r="J245" s="112"/>
      <c r="K245" s="112" t="s">
        <v>397</v>
      </c>
    </row>
    <row r="246" spans="1:11" s="111" customFormat="1" x14ac:dyDescent="0.25">
      <c r="A246" s="111" t="s">
        <v>269</v>
      </c>
      <c r="B246" s="111" t="s">
        <v>399</v>
      </c>
      <c r="C246" s="111" t="s">
        <v>400</v>
      </c>
      <c r="D246" s="112" t="s">
        <v>14</v>
      </c>
      <c r="E246" s="112" t="s">
        <v>14</v>
      </c>
      <c r="F246" s="112" t="s">
        <v>14</v>
      </c>
      <c r="G246" s="112" t="s">
        <v>14</v>
      </c>
      <c r="H246" s="112" t="s">
        <v>13</v>
      </c>
      <c r="I246" s="112" t="s">
        <v>15</v>
      </c>
      <c r="J246" s="112"/>
      <c r="K246" s="112"/>
    </row>
    <row r="247" spans="1:11" s="111" customFormat="1" x14ac:dyDescent="0.25">
      <c r="A247" s="111" t="s">
        <v>269</v>
      </c>
      <c r="B247" s="111" t="s">
        <v>399</v>
      </c>
      <c r="C247" s="111" t="s">
        <v>405</v>
      </c>
      <c r="D247" s="112" t="s">
        <v>14</v>
      </c>
      <c r="E247" s="112" t="s">
        <v>14</v>
      </c>
      <c r="F247" s="112" t="s">
        <v>14</v>
      </c>
      <c r="G247" s="112" t="s">
        <v>14</v>
      </c>
      <c r="H247" s="112" t="s">
        <v>13</v>
      </c>
      <c r="I247" s="112" t="s">
        <v>403</v>
      </c>
      <c r="J247" s="112"/>
      <c r="K247" s="112"/>
    </row>
    <row r="248" spans="1:11" s="111" customFormat="1" x14ac:dyDescent="0.25">
      <c r="A248" s="111" t="s">
        <v>269</v>
      </c>
      <c r="B248" s="111" t="s">
        <v>442</v>
      </c>
      <c r="C248" s="111" t="s">
        <v>653</v>
      </c>
      <c r="D248" s="112"/>
      <c r="E248" s="112" t="s">
        <v>14</v>
      </c>
      <c r="F248" s="112" t="s">
        <v>14</v>
      </c>
      <c r="G248" s="112" t="s">
        <v>14</v>
      </c>
      <c r="H248" s="112" t="s">
        <v>14</v>
      </c>
      <c r="I248" s="112" t="s">
        <v>256</v>
      </c>
      <c r="J248" s="112"/>
      <c r="K248" s="112"/>
    </row>
    <row r="249" spans="1:11" s="111" customFormat="1" x14ac:dyDescent="0.25">
      <c r="A249" s="111" t="s">
        <v>269</v>
      </c>
      <c r="B249" s="111" t="s">
        <v>513</v>
      </c>
      <c r="C249" s="111" t="s">
        <v>529</v>
      </c>
      <c r="D249" s="112" t="s">
        <v>253</v>
      </c>
      <c r="E249" s="112" t="s">
        <v>14</v>
      </c>
      <c r="F249" s="112" t="s">
        <v>14</v>
      </c>
      <c r="G249" s="112" t="s">
        <v>14</v>
      </c>
      <c r="H249" s="112" t="s">
        <v>14</v>
      </c>
      <c r="I249" s="112" t="s">
        <v>15</v>
      </c>
      <c r="J249" s="112"/>
      <c r="K249" s="112" t="s">
        <v>530</v>
      </c>
    </row>
    <row r="250" spans="1:11" s="113" customFormat="1" x14ac:dyDescent="0.25">
      <c r="A250" s="113" t="s">
        <v>164</v>
      </c>
      <c r="B250" s="113" t="s">
        <v>172</v>
      </c>
      <c r="C250" s="113" t="s">
        <v>163</v>
      </c>
      <c r="D250" s="114" t="s">
        <v>13</v>
      </c>
      <c r="E250" s="114" t="s">
        <v>14</v>
      </c>
      <c r="F250" s="114" t="s">
        <v>14</v>
      </c>
      <c r="G250" s="114" t="s">
        <v>14</v>
      </c>
      <c r="H250" s="114" t="s">
        <v>14</v>
      </c>
      <c r="I250" s="114" t="s">
        <v>15</v>
      </c>
      <c r="J250" s="114" t="s">
        <v>165</v>
      </c>
      <c r="K250" s="114"/>
    </row>
    <row r="251" spans="1:11" s="113" customFormat="1" x14ac:dyDescent="0.25">
      <c r="A251" s="113" t="s">
        <v>164</v>
      </c>
      <c r="B251" s="113" t="s">
        <v>355</v>
      </c>
      <c r="C251" s="115" t="s">
        <v>330</v>
      </c>
      <c r="D251" s="114" t="s">
        <v>306</v>
      </c>
      <c r="E251" s="114" t="s">
        <v>43</v>
      </c>
      <c r="F251" s="114" t="s">
        <v>43</v>
      </c>
      <c r="G251" s="114" t="s">
        <v>43</v>
      </c>
      <c r="H251" s="114" t="s">
        <v>306</v>
      </c>
      <c r="I251" s="114" t="s">
        <v>15</v>
      </c>
      <c r="J251" s="114" t="s">
        <v>638</v>
      </c>
      <c r="K251" s="114" t="s">
        <v>331</v>
      </c>
    </row>
    <row r="252" spans="1:11" s="113" customFormat="1" x14ac:dyDescent="0.25">
      <c r="A252" s="113" t="s">
        <v>164</v>
      </c>
      <c r="B252" s="113" t="s">
        <v>355</v>
      </c>
      <c r="C252" s="115" t="s">
        <v>332</v>
      </c>
      <c r="D252" s="114" t="s">
        <v>306</v>
      </c>
      <c r="E252" s="114" t="s">
        <v>43</v>
      </c>
      <c r="F252" s="114" t="s">
        <v>43</v>
      </c>
      <c r="G252" s="114" t="s">
        <v>43</v>
      </c>
      <c r="H252" s="114" t="s">
        <v>306</v>
      </c>
      <c r="I252" s="114" t="s">
        <v>15</v>
      </c>
      <c r="J252" s="114" t="s">
        <v>638</v>
      </c>
      <c r="K252" s="114" t="s">
        <v>333</v>
      </c>
    </row>
    <row r="253" spans="1:11" s="113" customFormat="1" x14ac:dyDescent="0.25">
      <c r="A253" s="116" t="s">
        <v>164</v>
      </c>
      <c r="B253" s="113" t="s">
        <v>664</v>
      </c>
      <c r="C253" s="113" t="s">
        <v>659</v>
      </c>
      <c r="D253" s="114" t="s">
        <v>306</v>
      </c>
      <c r="E253" s="114" t="s">
        <v>43</v>
      </c>
      <c r="F253" s="114" t="s">
        <v>43</v>
      </c>
      <c r="G253" s="114" t="s">
        <v>43</v>
      </c>
      <c r="H253" s="114" t="s">
        <v>43</v>
      </c>
      <c r="I253" s="114" t="s">
        <v>660</v>
      </c>
      <c r="J253" s="114" t="s">
        <v>661</v>
      </c>
      <c r="K253" s="114"/>
    </row>
    <row r="254" spans="1:11" s="117" customFormat="1" x14ac:dyDescent="0.25">
      <c r="A254" s="117" t="s">
        <v>372</v>
      </c>
      <c r="B254" s="117" t="s">
        <v>58</v>
      </c>
      <c r="C254" s="117" t="s">
        <v>45</v>
      </c>
      <c r="D254" s="118" t="s">
        <v>43</v>
      </c>
      <c r="E254" s="118" t="s">
        <v>14</v>
      </c>
      <c r="F254" s="118" t="s">
        <v>43</v>
      </c>
      <c r="G254" s="118" t="s">
        <v>43</v>
      </c>
      <c r="H254" s="118" t="s">
        <v>43</v>
      </c>
      <c r="I254" s="118" t="s">
        <v>40</v>
      </c>
      <c r="J254" s="118" t="s">
        <v>46</v>
      </c>
      <c r="K254" s="118" t="s">
        <v>654</v>
      </c>
    </row>
    <row r="255" spans="1:11" s="117" customFormat="1" x14ac:dyDescent="0.25">
      <c r="A255" s="117" t="s">
        <v>372</v>
      </c>
      <c r="B255" s="117" t="s">
        <v>281</v>
      </c>
      <c r="C255" s="117" t="s">
        <v>287</v>
      </c>
      <c r="D255" s="118" t="s">
        <v>35</v>
      </c>
      <c r="E255" s="118" t="s">
        <v>14</v>
      </c>
      <c r="F255" s="118" t="s">
        <v>14</v>
      </c>
      <c r="G255" s="118" t="s">
        <v>14</v>
      </c>
      <c r="H255" s="118" t="s">
        <v>14</v>
      </c>
      <c r="I255" s="118" t="s">
        <v>15</v>
      </c>
      <c r="J255" s="118" t="s">
        <v>288</v>
      </c>
      <c r="K255" s="118"/>
    </row>
    <row r="256" spans="1:11" s="117" customFormat="1" x14ac:dyDescent="0.25">
      <c r="A256" s="117" t="s">
        <v>372</v>
      </c>
      <c r="B256" s="117" t="s">
        <v>281</v>
      </c>
      <c r="C256" s="117" t="s">
        <v>289</v>
      </c>
      <c r="D256" s="118" t="s">
        <v>35</v>
      </c>
      <c r="E256" s="118" t="s">
        <v>14</v>
      </c>
      <c r="F256" s="118" t="s">
        <v>14</v>
      </c>
      <c r="G256" s="118" t="s">
        <v>14</v>
      </c>
      <c r="H256" s="118" t="s">
        <v>14</v>
      </c>
      <c r="I256" s="118" t="s">
        <v>15</v>
      </c>
      <c r="J256" s="118" t="s">
        <v>288</v>
      </c>
      <c r="K256" s="118"/>
    </row>
    <row r="257" spans="1:11" s="117" customFormat="1" x14ac:dyDescent="0.25">
      <c r="A257" s="117" t="s">
        <v>372</v>
      </c>
      <c r="B257" s="117" t="s">
        <v>281</v>
      </c>
      <c r="C257" s="117" t="s">
        <v>290</v>
      </c>
      <c r="D257" s="118" t="s">
        <v>35</v>
      </c>
      <c r="E257" s="118" t="s">
        <v>14</v>
      </c>
      <c r="F257" s="118" t="s">
        <v>14</v>
      </c>
      <c r="G257" s="118" t="s">
        <v>14</v>
      </c>
      <c r="H257" s="118" t="s">
        <v>14</v>
      </c>
      <c r="I257" s="118" t="s">
        <v>15</v>
      </c>
      <c r="J257" s="118" t="s">
        <v>288</v>
      </c>
      <c r="K257" s="118"/>
    </row>
    <row r="258" spans="1:11" s="117" customFormat="1" x14ac:dyDescent="0.25">
      <c r="A258" s="117" t="s">
        <v>372</v>
      </c>
      <c r="B258" s="117" t="s">
        <v>281</v>
      </c>
      <c r="C258" s="117" t="s">
        <v>291</v>
      </c>
      <c r="D258" s="118" t="s">
        <v>35</v>
      </c>
      <c r="E258" s="118" t="s">
        <v>14</v>
      </c>
      <c r="F258" s="118" t="s">
        <v>14</v>
      </c>
      <c r="G258" s="118" t="s">
        <v>14</v>
      </c>
      <c r="H258" s="118" t="s">
        <v>14</v>
      </c>
      <c r="I258" s="118" t="s">
        <v>15</v>
      </c>
      <c r="J258" s="118" t="s">
        <v>288</v>
      </c>
      <c r="K258" s="118"/>
    </row>
    <row r="259" spans="1:11" s="117" customFormat="1" x14ac:dyDescent="0.25">
      <c r="A259" s="117" t="s">
        <v>372</v>
      </c>
      <c r="B259" s="117" t="s">
        <v>357</v>
      </c>
      <c r="C259" s="117" t="s">
        <v>371</v>
      </c>
      <c r="D259" s="118" t="s">
        <v>14</v>
      </c>
      <c r="E259" s="118" t="s">
        <v>14</v>
      </c>
      <c r="F259" s="118" t="s">
        <v>14</v>
      </c>
      <c r="G259" s="118" t="s">
        <v>14</v>
      </c>
      <c r="H259" s="118" t="s">
        <v>14</v>
      </c>
      <c r="I259" s="118" t="s">
        <v>15</v>
      </c>
      <c r="J259" s="118" t="s">
        <v>373</v>
      </c>
      <c r="K259" s="118" t="s">
        <v>374</v>
      </c>
    </row>
    <row r="260" spans="1:11" s="117" customFormat="1" x14ac:dyDescent="0.25">
      <c r="A260" s="117" t="s">
        <v>372</v>
      </c>
      <c r="B260" s="117" t="s">
        <v>357</v>
      </c>
      <c r="C260" s="117" t="s">
        <v>375</v>
      </c>
      <c r="D260" s="118" t="s">
        <v>14</v>
      </c>
      <c r="E260" s="118" t="s">
        <v>14</v>
      </c>
      <c r="F260" s="118" t="s">
        <v>14</v>
      </c>
      <c r="G260" s="118" t="s">
        <v>14</v>
      </c>
      <c r="H260" s="118" t="s">
        <v>14</v>
      </c>
      <c r="I260" s="118" t="s">
        <v>15</v>
      </c>
      <c r="J260" s="118" t="s">
        <v>645</v>
      </c>
      <c r="K260" s="118" t="s">
        <v>376</v>
      </c>
    </row>
    <row r="261" spans="1:11" s="117" customFormat="1" x14ac:dyDescent="0.25">
      <c r="A261" s="117" t="s">
        <v>372</v>
      </c>
      <c r="B261" s="117" t="s">
        <v>357</v>
      </c>
      <c r="C261" s="117" t="s">
        <v>377</v>
      </c>
      <c r="D261" s="118" t="s">
        <v>14</v>
      </c>
      <c r="E261" s="118" t="s">
        <v>14</v>
      </c>
      <c r="F261" s="118" t="s">
        <v>14</v>
      </c>
      <c r="G261" s="118" t="s">
        <v>14</v>
      </c>
      <c r="H261" s="118" t="s">
        <v>14</v>
      </c>
      <c r="I261" s="118" t="s">
        <v>15</v>
      </c>
      <c r="J261" s="118" t="s">
        <v>646</v>
      </c>
      <c r="K261" s="118" t="s">
        <v>378</v>
      </c>
    </row>
    <row r="262" spans="1:11" s="117" customFormat="1" x14ac:dyDescent="0.25">
      <c r="A262" s="117" t="s">
        <v>372</v>
      </c>
      <c r="B262" s="117" t="s">
        <v>357</v>
      </c>
      <c r="C262" s="117" t="s">
        <v>379</v>
      </c>
      <c r="D262" s="118" t="s">
        <v>14</v>
      </c>
      <c r="E262" s="118" t="s">
        <v>14</v>
      </c>
      <c r="F262" s="118" t="s">
        <v>14</v>
      </c>
      <c r="G262" s="118" t="s">
        <v>14</v>
      </c>
      <c r="H262" s="118" t="s">
        <v>14</v>
      </c>
      <c r="I262" s="118" t="s">
        <v>15</v>
      </c>
      <c r="J262" s="118" t="s">
        <v>647</v>
      </c>
      <c r="K262" s="118" t="s">
        <v>378</v>
      </c>
    </row>
    <row r="263" spans="1:11" s="117" customFormat="1" x14ac:dyDescent="0.25">
      <c r="A263" s="117" t="s">
        <v>372</v>
      </c>
      <c r="B263" s="117" t="s">
        <v>357</v>
      </c>
      <c r="C263" s="117" t="s">
        <v>380</v>
      </c>
      <c r="D263" s="118" t="s">
        <v>14</v>
      </c>
      <c r="E263" s="118" t="s">
        <v>14</v>
      </c>
      <c r="F263" s="118" t="s">
        <v>14</v>
      </c>
      <c r="G263" s="118" t="s">
        <v>14</v>
      </c>
      <c r="H263" s="118" t="s">
        <v>14</v>
      </c>
      <c r="I263" s="118" t="s">
        <v>15</v>
      </c>
      <c r="J263" s="118" t="s">
        <v>648</v>
      </c>
      <c r="K263" s="118" t="s">
        <v>381</v>
      </c>
    </row>
    <row r="264" spans="1:11" s="117" customFormat="1" x14ac:dyDescent="0.25">
      <c r="A264" s="117" t="s">
        <v>372</v>
      </c>
      <c r="B264" s="117" t="s">
        <v>357</v>
      </c>
      <c r="C264" s="117" t="s">
        <v>382</v>
      </c>
      <c r="D264" s="118" t="s">
        <v>14</v>
      </c>
      <c r="E264" s="118" t="s">
        <v>14</v>
      </c>
      <c r="F264" s="118" t="s">
        <v>14</v>
      </c>
      <c r="G264" s="118" t="s">
        <v>14</v>
      </c>
      <c r="H264" s="118" t="s">
        <v>14</v>
      </c>
      <c r="I264" s="118" t="s">
        <v>15</v>
      </c>
      <c r="J264" s="118" t="s">
        <v>649</v>
      </c>
      <c r="K264" s="118" t="s">
        <v>383</v>
      </c>
    </row>
    <row r="265" spans="1:11" s="117" customFormat="1" x14ac:dyDescent="0.25">
      <c r="A265" s="117" t="s">
        <v>372</v>
      </c>
      <c r="B265" s="117" t="s">
        <v>357</v>
      </c>
      <c r="C265" s="117" t="s">
        <v>384</v>
      </c>
      <c r="D265" s="118" t="s">
        <v>14</v>
      </c>
      <c r="E265" s="118" t="s">
        <v>14</v>
      </c>
      <c r="F265" s="118" t="s">
        <v>14</v>
      </c>
      <c r="G265" s="118" t="s">
        <v>14</v>
      </c>
      <c r="H265" s="118" t="s">
        <v>14</v>
      </c>
      <c r="I265" s="118" t="s">
        <v>15</v>
      </c>
      <c r="J265" s="118" t="s">
        <v>650</v>
      </c>
      <c r="K265" s="118" t="s">
        <v>385</v>
      </c>
    </row>
    <row r="266" spans="1:11" s="117" customFormat="1" x14ac:dyDescent="0.25">
      <c r="A266" s="117" t="s">
        <v>372</v>
      </c>
      <c r="B266" s="117" t="s">
        <v>469</v>
      </c>
      <c r="C266" s="117" t="s">
        <v>492</v>
      </c>
      <c r="D266" s="118" t="s">
        <v>13</v>
      </c>
      <c r="E266" s="118" t="s">
        <v>14</v>
      </c>
      <c r="F266" s="118" t="s">
        <v>14</v>
      </c>
      <c r="G266" s="118" t="s">
        <v>14</v>
      </c>
      <c r="H266" s="118" t="s">
        <v>14</v>
      </c>
      <c r="I266" s="118" t="s">
        <v>15</v>
      </c>
      <c r="J266" s="118" t="s">
        <v>493</v>
      </c>
      <c r="K266" s="118" t="s">
        <v>494</v>
      </c>
    </row>
    <row r="267" spans="1:11" s="60" customFormat="1" x14ac:dyDescent="0.25">
      <c r="A267" s="60" t="s">
        <v>386</v>
      </c>
      <c r="B267" s="60" t="s">
        <v>281</v>
      </c>
      <c r="C267" s="60" t="s">
        <v>285</v>
      </c>
      <c r="D267" s="119" t="s">
        <v>35</v>
      </c>
      <c r="E267" s="119" t="s">
        <v>14</v>
      </c>
      <c r="F267" s="119" t="s">
        <v>14</v>
      </c>
      <c r="G267" s="119" t="s">
        <v>14</v>
      </c>
      <c r="H267" s="119" t="s">
        <v>14</v>
      </c>
      <c r="I267" s="119" t="s">
        <v>15</v>
      </c>
      <c r="J267" s="119" t="s">
        <v>286</v>
      </c>
      <c r="K267" s="119" t="s">
        <v>284</v>
      </c>
    </row>
    <row r="268" spans="1:11" s="120" customFormat="1" ht="15" customHeight="1" x14ac:dyDescent="0.25">
      <c r="A268" s="60" t="s">
        <v>386</v>
      </c>
      <c r="B268" s="60" t="s">
        <v>357</v>
      </c>
      <c r="C268" s="60" t="s">
        <v>384</v>
      </c>
      <c r="D268" s="119" t="s">
        <v>14</v>
      </c>
      <c r="E268" s="119" t="s">
        <v>14</v>
      </c>
      <c r="F268" s="119" t="s">
        <v>14</v>
      </c>
      <c r="G268" s="119" t="s">
        <v>14</v>
      </c>
      <c r="H268" s="119" t="s">
        <v>14</v>
      </c>
      <c r="I268" s="119" t="s">
        <v>15</v>
      </c>
      <c r="J268" s="119" t="s">
        <v>651</v>
      </c>
      <c r="K268" s="119" t="s">
        <v>387</v>
      </c>
    </row>
  </sheetData>
  <pageMargins left="0.7" right="0.7" top="0.75" bottom="0.75" header="0.3" footer="0.3"/>
  <pageSetup paperSize="9" orientation="portrait" horizontalDpi="300" verticalDpi="3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E62"/>
  <sheetViews>
    <sheetView topLeftCell="A31" zoomScaleNormal="100" workbookViewId="0">
      <selection sqref="A1:B6"/>
    </sheetView>
  </sheetViews>
  <sheetFormatPr defaultColWidth="9.140625" defaultRowHeight="15" x14ac:dyDescent="0.25"/>
  <cols>
    <col min="1" max="1" width="48.28515625" style="4" customWidth="1"/>
    <col min="2" max="2" width="16.7109375" style="4" customWidth="1"/>
    <col min="3" max="3" width="9.140625" style="3"/>
    <col min="4" max="4" width="27.7109375" style="3" customWidth="1"/>
    <col min="5" max="5" width="18.7109375" style="3" customWidth="1"/>
    <col min="6" max="16384" width="9.140625" style="3"/>
  </cols>
  <sheetData>
    <row r="1" spans="1:5" s="18" customFormat="1" ht="15.75" thickBot="1" x14ac:dyDescent="0.3">
      <c r="A1" s="162" t="s">
        <v>712</v>
      </c>
      <c r="B1" s="162" t="s">
        <v>713</v>
      </c>
      <c r="D1" s="13" t="s">
        <v>724</v>
      </c>
      <c r="E1" s="144" t="s">
        <v>725</v>
      </c>
    </row>
    <row r="2" spans="1:5" ht="39" x14ac:dyDescent="0.25">
      <c r="A2" s="163" t="s">
        <v>760</v>
      </c>
      <c r="B2" s="164" t="s">
        <v>678</v>
      </c>
      <c r="D2" s="16" t="s">
        <v>723</v>
      </c>
      <c r="E2" s="17">
        <v>8</v>
      </c>
    </row>
    <row r="3" spans="1:5" ht="64.5" x14ac:dyDescent="0.25">
      <c r="A3" s="163" t="s">
        <v>761</v>
      </c>
      <c r="B3" s="164" t="s">
        <v>679</v>
      </c>
      <c r="D3" s="142" t="s">
        <v>758</v>
      </c>
      <c r="E3" s="143">
        <v>3</v>
      </c>
    </row>
    <row r="4" spans="1:5" ht="39" x14ac:dyDescent="0.25">
      <c r="A4" s="165" t="s">
        <v>762</v>
      </c>
      <c r="B4" s="164" t="s">
        <v>679</v>
      </c>
      <c r="D4" s="142" t="s">
        <v>757</v>
      </c>
      <c r="E4" s="143">
        <v>1</v>
      </c>
    </row>
    <row r="5" spans="1:5" ht="115.5" x14ac:dyDescent="0.25">
      <c r="A5" s="165" t="s">
        <v>763</v>
      </c>
      <c r="B5" s="164" t="s">
        <v>500</v>
      </c>
      <c r="D5" s="142" t="s">
        <v>703</v>
      </c>
      <c r="E5" s="143">
        <v>1</v>
      </c>
    </row>
    <row r="6" spans="1:5" ht="26.25" x14ac:dyDescent="0.25">
      <c r="A6" s="165" t="s">
        <v>118</v>
      </c>
      <c r="B6" s="164" t="s">
        <v>680</v>
      </c>
      <c r="D6" s="14" t="s">
        <v>722</v>
      </c>
      <c r="E6" s="15">
        <v>4</v>
      </c>
    </row>
    <row r="7" spans="1:5" ht="30" x14ac:dyDescent="0.25">
      <c r="A7" s="165" t="s">
        <v>119</v>
      </c>
      <c r="B7" s="164"/>
      <c r="D7" s="14" t="s">
        <v>721</v>
      </c>
      <c r="E7" s="15">
        <v>4</v>
      </c>
    </row>
    <row r="8" spans="1:5" ht="26.25" x14ac:dyDescent="0.25">
      <c r="A8" s="165" t="s">
        <v>764</v>
      </c>
      <c r="B8" s="164" t="s">
        <v>681</v>
      </c>
      <c r="D8" s="14" t="s">
        <v>720</v>
      </c>
      <c r="E8" s="15">
        <v>4</v>
      </c>
    </row>
    <row r="9" spans="1:5" x14ac:dyDescent="0.25">
      <c r="A9" s="165" t="s">
        <v>127</v>
      </c>
      <c r="B9" s="164" t="s">
        <v>682</v>
      </c>
      <c r="D9" s="14" t="s">
        <v>714</v>
      </c>
      <c r="E9" s="15">
        <v>3</v>
      </c>
    </row>
    <row r="10" spans="1:5" ht="39" x14ac:dyDescent="0.25">
      <c r="A10" s="165" t="s">
        <v>765</v>
      </c>
      <c r="B10" s="164" t="s">
        <v>684</v>
      </c>
      <c r="D10" s="14" t="s">
        <v>719</v>
      </c>
      <c r="E10" s="15">
        <v>3</v>
      </c>
    </row>
    <row r="11" spans="1:5" ht="26.25" x14ac:dyDescent="0.25">
      <c r="A11" s="165" t="s">
        <v>766</v>
      </c>
      <c r="B11" s="164" t="s">
        <v>679</v>
      </c>
      <c r="D11" s="14" t="s">
        <v>718</v>
      </c>
      <c r="E11" s="15">
        <v>3</v>
      </c>
    </row>
    <row r="12" spans="1:5" ht="26.25" x14ac:dyDescent="0.25">
      <c r="A12" s="165" t="s">
        <v>767</v>
      </c>
      <c r="B12" s="164" t="s">
        <v>683</v>
      </c>
      <c r="D12" s="14" t="s">
        <v>717</v>
      </c>
      <c r="E12" s="15">
        <v>3</v>
      </c>
    </row>
    <row r="13" spans="1:5" ht="64.5" x14ac:dyDescent="0.25">
      <c r="A13" s="166" t="s">
        <v>726</v>
      </c>
      <c r="B13" s="164" t="s">
        <v>684</v>
      </c>
      <c r="D13" s="14" t="s">
        <v>716</v>
      </c>
      <c r="E13" s="15">
        <v>3</v>
      </c>
    </row>
    <row r="14" spans="1:5" x14ac:dyDescent="0.25">
      <c r="A14" s="165" t="s">
        <v>768</v>
      </c>
      <c r="B14" s="164" t="s">
        <v>685</v>
      </c>
      <c r="D14" s="14" t="s">
        <v>715</v>
      </c>
      <c r="E14" s="15">
        <v>3</v>
      </c>
    </row>
    <row r="15" spans="1:5" ht="26.25" x14ac:dyDescent="0.25">
      <c r="A15" s="165" t="s">
        <v>769</v>
      </c>
      <c r="B15" s="164" t="s">
        <v>686</v>
      </c>
      <c r="D15" s="14" t="s">
        <v>714</v>
      </c>
      <c r="E15" s="15">
        <v>3</v>
      </c>
    </row>
    <row r="16" spans="1:5" x14ac:dyDescent="0.25">
      <c r="A16" s="165" t="s">
        <v>770</v>
      </c>
      <c r="B16" s="164" t="s">
        <v>687</v>
      </c>
      <c r="D16" s="14" t="s">
        <v>711</v>
      </c>
      <c r="E16" s="15">
        <v>2</v>
      </c>
    </row>
    <row r="17" spans="1:5" x14ac:dyDescent="0.25">
      <c r="A17" s="166" t="s">
        <v>173</v>
      </c>
      <c r="B17" s="164" t="s">
        <v>173</v>
      </c>
      <c r="D17" s="14" t="s">
        <v>686</v>
      </c>
      <c r="E17" s="15">
        <v>2</v>
      </c>
    </row>
    <row r="18" spans="1:5" x14ac:dyDescent="0.25">
      <c r="A18" s="166" t="s">
        <v>174</v>
      </c>
      <c r="B18" s="164" t="s">
        <v>686</v>
      </c>
      <c r="D18" s="14" t="s">
        <v>710</v>
      </c>
      <c r="E18" s="15">
        <v>2</v>
      </c>
    </row>
    <row r="19" spans="1:5" ht="166.5" x14ac:dyDescent="0.25">
      <c r="A19" s="165" t="s">
        <v>771</v>
      </c>
      <c r="B19" s="164" t="s">
        <v>688</v>
      </c>
    </row>
    <row r="20" spans="1:5" ht="26.25" x14ac:dyDescent="0.25">
      <c r="A20" s="165" t="s">
        <v>772</v>
      </c>
      <c r="B20" s="164" t="s">
        <v>500</v>
      </c>
    </row>
    <row r="21" spans="1:5" ht="26.25" x14ac:dyDescent="0.25">
      <c r="A21" s="165" t="s">
        <v>773</v>
      </c>
      <c r="B21" s="164" t="s">
        <v>689</v>
      </c>
    </row>
    <row r="22" spans="1:5" x14ac:dyDescent="0.25">
      <c r="A22" s="165" t="s">
        <v>774</v>
      </c>
      <c r="B22" s="164" t="s">
        <v>679</v>
      </c>
    </row>
    <row r="23" spans="1:5" x14ac:dyDescent="0.25">
      <c r="A23" s="165" t="s">
        <v>775</v>
      </c>
      <c r="B23" s="164" t="s">
        <v>727</v>
      </c>
    </row>
    <row r="24" spans="1:5" x14ac:dyDescent="0.25">
      <c r="A24" s="166" t="s">
        <v>279</v>
      </c>
      <c r="B24" s="164" t="s">
        <v>679</v>
      </c>
    </row>
    <row r="25" spans="1:5" x14ac:dyDescent="0.25">
      <c r="A25" s="166" t="s">
        <v>728</v>
      </c>
      <c r="B25" s="164" t="s">
        <v>173</v>
      </c>
    </row>
    <row r="26" spans="1:5" x14ac:dyDescent="0.25">
      <c r="A26" s="166" t="s">
        <v>730</v>
      </c>
      <c r="B26" s="164" t="s">
        <v>731</v>
      </c>
    </row>
    <row r="27" spans="1:5" x14ac:dyDescent="0.25">
      <c r="A27" s="166" t="s">
        <v>729</v>
      </c>
      <c r="B27" s="164" t="s">
        <v>732</v>
      </c>
    </row>
    <row r="28" spans="1:5" x14ac:dyDescent="0.25">
      <c r="A28" s="165" t="s">
        <v>776</v>
      </c>
      <c r="B28" s="164" t="s">
        <v>685</v>
      </c>
    </row>
    <row r="29" spans="1:5" x14ac:dyDescent="0.25">
      <c r="A29" s="165" t="s">
        <v>777</v>
      </c>
      <c r="B29" s="167" t="s">
        <v>691</v>
      </c>
    </row>
    <row r="30" spans="1:5" ht="26.25" x14ac:dyDescent="0.25">
      <c r="A30" s="165" t="s">
        <v>778</v>
      </c>
      <c r="B30" s="164" t="s">
        <v>690</v>
      </c>
      <c r="C30" s="24"/>
    </row>
    <row r="31" spans="1:5" ht="115.5" x14ac:dyDescent="0.25">
      <c r="A31" s="165" t="s">
        <v>779</v>
      </c>
      <c r="B31" s="164" t="s">
        <v>692</v>
      </c>
    </row>
    <row r="32" spans="1:5" ht="39" x14ac:dyDescent="0.25">
      <c r="A32" s="165" t="s">
        <v>780</v>
      </c>
      <c r="B32" s="164" t="s">
        <v>693</v>
      </c>
    </row>
    <row r="33" spans="1:3" ht="39" x14ac:dyDescent="0.25">
      <c r="A33" s="165" t="s">
        <v>356</v>
      </c>
      <c r="B33" s="164" t="s">
        <v>694</v>
      </c>
    </row>
    <row r="34" spans="1:3" ht="26.25" x14ac:dyDescent="0.25">
      <c r="A34" s="165" t="s">
        <v>781</v>
      </c>
      <c r="B34" s="164" t="s">
        <v>695</v>
      </c>
    </row>
    <row r="35" spans="1:3" ht="26.25" x14ac:dyDescent="0.25">
      <c r="A35" s="165" t="s">
        <v>782</v>
      </c>
      <c r="B35" s="164" t="s">
        <v>679</v>
      </c>
    </row>
    <row r="36" spans="1:3" ht="26.25" x14ac:dyDescent="0.25">
      <c r="A36" s="165" t="s">
        <v>783</v>
      </c>
      <c r="B36" s="164" t="s">
        <v>696</v>
      </c>
    </row>
    <row r="37" spans="1:3" ht="26.25" x14ac:dyDescent="0.25">
      <c r="A37" s="165" t="s">
        <v>784</v>
      </c>
      <c r="B37" s="164" t="s">
        <v>697</v>
      </c>
    </row>
    <row r="38" spans="1:3" ht="26.25" x14ac:dyDescent="0.25">
      <c r="A38" s="165" t="s">
        <v>785</v>
      </c>
      <c r="B38" s="164" t="s">
        <v>698</v>
      </c>
    </row>
    <row r="39" spans="1:3" ht="26.25" x14ac:dyDescent="0.25">
      <c r="A39" s="165" t="s">
        <v>786</v>
      </c>
      <c r="B39" s="164"/>
    </row>
    <row r="40" spans="1:3" x14ac:dyDescent="0.25">
      <c r="A40" s="166" t="s">
        <v>443</v>
      </c>
      <c r="B40" s="164" t="s">
        <v>443</v>
      </c>
    </row>
    <row r="41" spans="1:3" ht="51.75" x14ac:dyDescent="0.25">
      <c r="A41" s="165" t="s">
        <v>787</v>
      </c>
      <c r="B41" s="164"/>
    </row>
    <row r="42" spans="1:3" ht="39" x14ac:dyDescent="0.25">
      <c r="A42" s="165" t="s">
        <v>788</v>
      </c>
      <c r="B42" s="164" t="s">
        <v>733</v>
      </c>
      <c r="C42" s="24"/>
    </row>
    <row r="43" spans="1:3" ht="39" x14ac:dyDescent="0.25">
      <c r="A43" s="165" t="s">
        <v>789</v>
      </c>
      <c r="B43" s="164" t="s">
        <v>734</v>
      </c>
      <c r="C43" s="24"/>
    </row>
    <row r="44" spans="1:3" ht="26.25" x14ac:dyDescent="0.25">
      <c r="A44" s="165" t="s">
        <v>790</v>
      </c>
      <c r="B44" s="164" t="s">
        <v>443</v>
      </c>
    </row>
    <row r="45" spans="1:3" x14ac:dyDescent="0.25">
      <c r="A45" s="165" t="s">
        <v>791</v>
      </c>
      <c r="B45" s="164" t="s">
        <v>699</v>
      </c>
    </row>
    <row r="46" spans="1:3" x14ac:dyDescent="0.25">
      <c r="A46" s="165" t="s">
        <v>792</v>
      </c>
      <c r="B46" s="164" t="s">
        <v>700</v>
      </c>
    </row>
    <row r="47" spans="1:3" x14ac:dyDescent="0.25">
      <c r="A47" s="165" t="s">
        <v>793</v>
      </c>
      <c r="B47" s="164" t="s">
        <v>701</v>
      </c>
    </row>
    <row r="48" spans="1:3" ht="39" x14ac:dyDescent="0.25">
      <c r="A48" s="165" t="s">
        <v>794</v>
      </c>
      <c r="B48" s="164" t="s">
        <v>702</v>
      </c>
    </row>
    <row r="49" spans="1:3" ht="26.25" x14ac:dyDescent="0.25">
      <c r="A49" s="165" t="s">
        <v>795</v>
      </c>
      <c r="B49" s="164" t="s">
        <v>679</v>
      </c>
    </row>
    <row r="50" spans="1:3" ht="26.25" x14ac:dyDescent="0.25">
      <c r="A50" s="165" t="s">
        <v>796</v>
      </c>
      <c r="B50" s="164" t="s">
        <v>703</v>
      </c>
    </row>
    <row r="51" spans="1:3" ht="26.25" x14ac:dyDescent="0.25">
      <c r="A51" s="166" t="s">
        <v>586</v>
      </c>
      <c r="B51" s="164" t="s">
        <v>704</v>
      </c>
    </row>
    <row r="52" spans="1:3" ht="26.25" x14ac:dyDescent="0.25">
      <c r="A52" s="166" t="s">
        <v>587</v>
      </c>
      <c r="B52" s="164" t="s">
        <v>500</v>
      </c>
    </row>
    <row r="53" spans="1:3" ht="39" x14ac:dyDescent="0.25">
      <c r="A53" s="165" t="s">
        <v>797</v>
      </c>
      <c r="B53" s="164" t="s">
        <v>735</v>
      </c>
      <c r="C53" s="11"/>
    </row>
    <row r="54" spans="1:3" ht="26.25" x14ac:dyDescent="0.25">
      <c r="A54" s="165" t="s">
        <v>798</v>
      </c>
      <c r="B54" s="164" t="s">
        <v>695</v>
      </c>
    </row>
    <row r="55" spans="1:3" ht="64.5" x14ac:dyDescent="0.25">
      <c r="A55" s="165" t="s">
        <v>799</v>
      </c>
      <c r="B55" s="164" t="s">
        <v>619</v>
      </c>
    </row>
    <row r="56" spans="1:3" ht="64.5" x14ac:dyDescent="0.25">
      <c r="A56" s="165" t="s">
        <v>800</v>
      </c>
      <c r="B56" s="164" t="s">
        <v>701</v>
      </c>
    </row>
    <row r="57" spans="1:3" ht="26.25" x14ac:dyDescent="0.25">
      <c r="A57" s="165" t="s">
        <v>801</v>
      </c>
      <c r="B57" s="164" t="s">
        <v>705</v>
      </c>
    </row>
    <row r="58" spans="1:3" ht="26.25" x14ac:dyDescent="0.25">
      <c r="A58" s="165" t="s">
        <v>802</v>
      </c>
      <c r="B58" s="164" t="s">
        <v>706</v>
      </c>
    </row>
    <row r="59" spans="1:3" ht="64.5" x14ac:dyDescent="0.25">
      <c r="A59" s="165" t="s">
        <v>622</v>
      </c>
      <c r="B59" s="164"/>
    </row>
    <row r="60" spans="1:3" ht="51.75" x14ac:dyDescent="0.25">
      <c r="A60" s="165" t="s">
        <v>803</v>
      </c>
      <c r="B60" s="164" t="s">
        <v>707</v>
      </c>
    </row>
    <row r="61" spans="1:3" ht="204.75" x14ac:dyDescent="0.25">
      <c r="A61" s="165" t="s">
        <v>804</v>
      </c>
      <c r="B61" s="164" t="s">
        <v>708</v>
      </c>
    </row>
    <row r="62" spans="1:3" ht="128.25" x14ac:dyDescent="0.25">
      <c r="A62" s="165" t="s">
        <v>805</v>
      </c>
      <c r="B62" s="164" t="s">
        <v>709</v>
      </c>
    </row>
  </sheetData>
  <printOptions gridLines="1"/>
  <pageMargins left="0.7" right="0.7" top="0.75" bottom="0.75" header="0.3" footer="0.3"/>
  <pageSetup paperSize="9" orientation="portrait" horizontalDpi="300" verticalDpi="300" r:id="rId1"/>
  <customProperties>
    <customPr name="DVSECTIONID" r:id="rId2"/>
  </customPropertie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68"/>
  <sheetViews>
    <sheetView workbookViewId="0">
      <selection activeCell="E271" sqref="E271"/>
    </sheetView>
  </sheetViews>
  <sheetFormatPr defaultRowHeight="15" x14ac:dyDescent="0.25"/>
  <cols>
    <col min="1" max="1" width="27.7109375" customWidth="1"/>
    <col min="2" max="2" width="29.140625" customWidth="1"/>
    <col min="3" max="3" width="39.42578125" customWidth="1"/>
  </cols>
  <sheetData>
    <row r="1" spans="1:4" x14ac:dyDescent="0.25">
      <c r="A1" s="1" t="s">
        <v>1</v>
      </c>
      <c r="B1" s="1" t="s">
        <v>10</v>
      </c>
      <c r="C1" s="1" t="s">
        <v>0</v>
      </c>
      <c r="D1" s="1" t="s">
        <v>808</v>
      </c>
    </row>
    <row r="2" spans="1:4" s="5" customFormat="1" x14ac:dyDescent="0.25">
      <c r="A2" s="5" t="s">
        <v>35</v>
      </c>
      <c r="B2" s="5" t="s">
        <v>267</v>
      </c>
      <c r="C2" s="5" t="s">
        <v>234</v>
      </c>
      <c r="D2" s="5">
        <v>1</v>
      </c>
    </row>
    <row r="3" spans="1:4" s="5" customFormat="1" x14ac:dyDescent="0.25">
      <c r="A3" s="5" t="s">
        <v>35</v>
      </c>
      <c r="B3" s="5" t="s">
        <v>267</v>
      </c>
      <c r="C3" s="5" t="s">
        <v>236</v>
      </c>
    </row>
    <row r="4" spans="1:4" s="52" customFormat="1" x14ac:dyDescent="0.25">
      <c r="A4" s="52" t="s">
        <v>56</v>
      </c>
      <c r="B4" s="52" t="s">
        <v>267</v>
      </c>
      <c r="C4" s="52" t="s">
        <v>249</v>
      </c>
      <c r="D4" s="52">
        <v>2</v>
      </c>
    </row>
    <row r="5" spans="1:4" s="52" customFormat="1" x14ac:dyDescent="0.25">
      <c r="A5" s="52" t="s">
        <v>56</v>
      </c>
      <c r="B5" s="52" t="s">
        <v>513</v>
      </c>
      <c r="C5" s="52" t="s">
        <v>578</v>
      </c>
    </row>
    <row r="6" spans="1:4" s="54" customFormat="1" x14ac:dyDescent="0.25">
      <c r="A6" s="54" t="s">
        <v>212</v>
      </c>
      <c r="B6" s="54" t="s">
        <v>267</v>
      </c>
      <c r="C6" s="54" t="s">
        <v>211</v>
      </c>
      <c r="D6" s="54">
        <v>4</v>
      </c>
    </row>
    <row r="7" spans="1:4" s="54" customFormat="1" x14ac:dyDescent="0.25">
      <c r="A7" s="54" t="s">
        <v>212</v>
      </c>
      <c r="B7" s="54" t="s">
        <v>355</v>
      </c>
      <c r="C7" s="55" t="s">
        <v>339</v>
      </c>
    </row>
    <row r="8" spans="1:4" s="54" customFormat="1" x14ac:dyDescent="0.25">
      <c r="A8" s="54" t="s">
        <v>212</v>
      </c>
      <c r="B8" s="54" t="s">
        <v>355</v>
      </c>
      <c r="C8" s="55" t="s">
        <v>348</v>
      </c>
    </row>
    <row r="9" spans="1:4" s="54" customFormat="1" x14ac:dyDescent="0.25">
      <c r="A9" s="54" t="s">
        <v>212</v>
      </c>
      <c r="B9" s="54" t="s">
        <v>357</v>
      </c>
      <c r="C9" s="54" t="s">
        <v>358</v>
      </c>
    </row>
    <row r="10" spans="1:4" s="54" customFormat="1" x14ac:dyDescent="0.25">
      <c r="A10" s="54" t="s">
        <v>212</v>
      </c>
      <c r="B10" s="54" t="s">
        <v>448</v>
      </c>
      <c r="C10" s="54" t="s">
        <v>458</v>
      </c>
    </row>
    <row r="11" spans="1:4" s="62" customFormat="1" x14ac:dyDescent="0.25">
      <c r="A11" s="62" t="s">
        <v>114</v>
      </c>
      <c r="B11" s="62" t="s">
        <v>117</v>
      </c>
      <c r="C11" s="62" t="s">
        <v>113</v>
      </c>
      <c r="D11" s="62">
        <v>5</v>
      </c>
    </row>
    <row r="12" spans="1:4" s="62" customFormat="1" x14ac:dyDescent="0.25">
      <c r="A12" s="62" t="s">
        <v>114</v>
      </c>
      <c r="B12" s="62" t="s">
        <v>267</v>
      </c>
      <c r="C12" s="62" t="s">
        <v>209</v>
      </c>
    </row>
    <row r="13" spans="1:4" s="62" customFormat="1" x14ac:dyDescent="0.25">
      <c r="A13" s="62" t="s">
        <v>114</v>
      </c>
      <c r="B13" s="62" t="s">
        <v>267</v>
      </c>
      <c r="C13" s="62" t="s">
        <v>224</v>
      </c>
    </row>
    <row r="14" spans="1:4" s="62" customFormat="1" x14ac:dyDescent="0.25">
      <c r="A14" s="62" t="s">
        <v>114</v>
      </c>
      <c r="B14" s="62" t="s">
        <v>357</v>
      </c>
      <c r="C14" s="62" t="s">
        <v>361</v>
      </c>
    </row>
    <row r="15" spans="1:4" s="62" customFormat="1" x14ac:dyDescent="0.25">
      <c r="A15" s="62" t="s">
        <v>114</v>
      </c>
      <c r="B15" s="62" t="s">
        <v>512</v>
      </c>
      <c r="C15" s="62" t="s">
        <v>500</v>
      </c>
    </row>
    <row r="16" spans="1:4" s="62" customFormat="1" x14ac:dyDescent="0.25">
      <c r="A16" s="62" t="s">
        <v>114</v>
      </c>
      <c r="B16" s="62" t="s">
        <v>588</v>
      </c>
      <c r="C16" s="62" t="s">
        <v>500</v>
      </c>
    </row>
    <row r="17" spans="1:4" s="62" customFormat="1" x14ac:dyDescent="0.25">
      <c r="A17" s="62" t="s">
        <v>114</v>
      </c>
      <c r="B17" s="62" t="s">
        <v>588</v>
      </c>
      <c r="C17" s="62" t="s">
        <v>592</v>
      </c>
    </row>
    <row r="18" spans="1:4" s="61" customFormat="1" x14ac:dyDescent="0.25">
      <c r="A18" s="61" t="s">
        <v>189</v>
      </c>
      <c r="B18" s="61" t="s">
        <v>197</v>
      </c>
      <c r="C18" s="61" t="s">
        <v>188</v>
      </c>
      <c r="D18" s="61">
        <v>2</v>
      </c>
    </row>
    <row r="19" spans="1:4" s="61" customFormat="1" x14ac:dyDescent="0.25">
      <c r="A19" s="61" t="s">
        <v>189</v>
      </c>
      <c r="B19" s="61" t="s">
        <v>197</v>
      </c>
      <c r="C19" s="61" t="s">
        <v>192</v>
      </c>
    </row>
    <row r="20" spans="1:4" s="61" customFormat="1" x14ac:dyDescent="0.25">
      <c r="A20" s="61" t="s">
        <v>189</v>
      </c>
      <c r="B20" s="61" t="s">
        <v>267</v>
      </c>
      <c r="C20" s="61" t="s">
        <v>207</v>
      </c>
    </row>
    <row r="21" spans="1:4" s="61" customFormat="1" x14ac:dyDescent="0.25">
      <c r="A21" s="61" t="s">
        <v>189</v>
      </c>
      <c r="B21" s="61" t="s">
        <v>267</v>
      </c>
      <c r="C21" s="61" t="s">
        <v>218</v>
      </c>
    </row>
    <row r="22" spans="1:4" s="61" customFormat="1" x14ac:dyDescent="0.25">
      <c r="A22" s="61" t="s">
        <v>189</v>
      </c>
      <c r="B22" s="61" t="s">
        <v>267</v>
      </c>
      <c r="C22" s="61" t="s">
        <v>231</v>
      </c>
    </row>
    <row r="23" spans="1:4" s="61" customFormat="1" x14ac:dyDescent="0.25">
      <c r="A23" s="61" t="s">
        <v>189</v>
      </c>
      <c r="B23" s="61" t="s">
        <v>267</v>
      </c>
      <c r="C23" s="61" t="s">
        <v>247</v>
      </c>
    </row>
    <row r="24" spans="1:4" s="61" customFormat="1" x14ac:dyDescent="0.25">
      <c r="A24" s="61" t="s">
        <v>189</v>
      </c>
      <c r="B24" s="61" t="s">
        <v>588</v>
      </c>
      <c r="C24" s="61" t="s">
        <v>610</v>
      </c>
    </row>
    <row r="25" spans="1:4" s="6" customFormat="1" x14ac:dyDescent="0.25">
      <c r="A25" s="6" t="s">
        <v>34</v>
      </c>
      <c r="B25" s="6" t="s">
        <v>267</v>
      </c>
      <c r="C25" s="6" t="s">
        <v>226</v>
      </c>
      <c r="D25" s="6">
        <v>2</v>
      </c>
    </row>
    <row r="26" spans="1:4" s="6" customFormat="1" x14ac:dyDescent="0.25">
      <c r="A26" s="6" t="s">
        <v>34</v>
      </c>
      <c r="B26" s="6" t="s">
        <v>611</v>
      </c>
      <c r="C26" s="6" t="s">
        <v>612</v>
      </c>
    </row>
    <row r="27" spans="1:4" s="72" customFormat="1" x14ac:dyDescent="0.25">
      <c r="A27" s="72" t="s">
        <v>72</v>
      </c>
      <c r="B27" s="72" t="s">
        <v>70</v>
      </c>
      <c r="C27" s="72" t="s">
        <v>71</v>
      </c>
      <c r="D27" s="72">
        <v>5</v>
      </c>
    </row>
    <row r="28" spans="1:4" s="72" customFormat="1" x14ac:dyDescent="0.25">
      <c r="A28" s="72" t="s">
        <v>72</v>
      </c>
      <c r="B28" s="72" t="s">
        <v>172</v>
      </c>
      <c r="C28" s="72" t="s">
        <v>170</v>
      </c>
    </row>
    <row r="29" spans="1:4" s="72" customFormat="1" x14ac:dyDescent="0.25">
      <c r="A29" s="72" t="s">
        <v>72</v>
      </c>
      <c r="B29" s="72" t="s">
        <v>448</v>
      </c>
      <c r="C29" s="72" t="s">
        <v>461</v>
      </c>
    </row>
    <row r="30" spans="1:4" s="72" customFormat="1" x14ac:dyDescent="0.25">
      <c r="A30" s="72" t="s">
        <v>72</v>
      </c>
      <c r="B30" s="72" t="s">
        <v>588</v>
      </c>
      <c r="C30" s="72" t="s">
        <v>604</v>
      </c>
    </row>
    <row r="31" spans="1:4" s="72" customFormat="1" x14ac:dyDescent="0.25">
      <c r="A31" s="72" t="s">
        <v>72</v>
      </c>
      <c r="B31" s="72" t="s">
        <v>611</v>
      </c>
      <c r="C31" s="72" t="s">
        <v>614</v>
      </c>
    </row>
    <row r="32" spans="1:4" s="85" customFormat="1" x14ac:dyDescent="0.25">
      <c r="A32" s="85" t="s">
        <v>121</v>
      </c>
      <c r="B32" s="85" t="s">
        <v>126</v>
      </c>
      <c r="C32" s="85" t="s">
        <v>120</v>
      </c>
      <c r="D32" s="85">
        <v>7</v>
      </c>
    </row>
    <row r="33" spans="1:3" s="85" customFormat="1" x14ac:dyDescent="0.25">
      <c r="A33" s="85" t="s">
        <v>121</v>
      </c>
      <c r="B33" s="85" t="s">
        <v>126</v>
      </c>
      <c r="C33" s="85" t="s">
        <v>123</v>
      </c>
    </row>
    <row r="34" spans="1:3" s="85" customFormat="1" x14ac:dyDescent="0.25">
      <c r="A34" s="85" t="s">
        <v>121</v>
      </c>
      <c r="B34" s="85" t="s">
        <v>126</v>
      </c>
      <c r="C34" s="85" t="s">
        <v>124</v>
      </c>
    </row>
    <row r="35" spans="1:3" s="85" customFormat="1" x14ac:dyDescent="0.25">
      <c r="A35" s="85" t="s">
        <v>121</v>
      </c>
      <c r="B35" s="85" t="s">
        <v>267</v>
      </c>
      <c r="C35" s="85" t="s">
        <v>198</v>
      </c>
    </row>
    <row r="36" spans="1:3" s="85" customFormat="1" x14ac:dyDescent="0.25">
      <c r="A36" s="85" t="s">
        <v>121</v>
      </c>
      <c r="B36" s="85" t="s">
        <v>267</v>
      </c>
      <c r="C36" s="85" t="s">
        <v>215</v>
      </c>
    </row>
    <row r="37" spans="1:3" s="85" customFormat="1" x14ac:dyDescent="0.25">
      <c r="A37" s="85" t="s">
        <v>121</v>
      </c>
      <c r="B37" s="85" t="s">
        <v>267</v>
      </c>
      <c r="C37" s="85" t="s">
        <v>229</v>
      </c>
    </row>
    <row r="38" spans="1:3" s="85" customFormat="1" x14ac:dyDescent="0.25">
      <c r="A38" s="85" t="s">
        <v>121</v>
      </c>
      <c r="B38" s="85" t="s">
        <v>278</v>
      </c>
      <c r="C38" s="85" t="s">
        <v>276</v>
      </c>
    </row>
    <row r="39" spans="1:3" s="85" customFormat="1" x14ac:dyDescent="0.25">
      <c r="A39" s="85" t="s">
        <v>121</v>
      </c>
      <c r="B39" s="85" t="s">
        <v>442</v>
      </c>
      <c r="C39" s="85" t="s">
        <v>436</v>
      </c>
    </row>
    <row r="40" spans="1:3" s="85" customFormat="1" ht="14.45" x14ac:dyDescent="0.3">
      <c r="A40" s="85" t="s">
        <v>121</v>
      </c>
      <c r="B40" s="85" t="s">
        <v>442</v>
      </c>
      <c r="C40" s="85" t="s">
        <v>439</v>
      </c>
    </row>
    <row r="41" spans="1:3" s="85" customFormat="1" x14ac:dyDescent="0.25">
      <c r="A41" s="85" t="s">
        <v>121</v>
      </c>
      <c r="B41" s="85" t="s">
        <v>513</v>
      </c>
      <c r="C41" s="85" t="s">
        <v>514</v>
      </c>
    </row>
    <row r="42" spans="1:3" s="85" customFormat="1" x14ac:dyDescent="0.25">
      <c r="A42" s="85" t="s">
        <v>121</v>
      </c>
      <c r="B42" s="85" t="s">
        <v>513</v>
      </c>
      <c r="C42" s="85" t="s">
        <v>517</v>
      </c>
    </row>
    <row r="43" spans="1:3" s="85" customFormat="1" x14ac:dyDescent="0.25">
      <c r="A43" s="85" t="s">
        <v>121</v>
      </c>
      <c r="B43" s="85" t="s">
        <v>513</v>
      </c>
      <c r="C43" s="85" t="s">
        <v>520</v>
      </c>
    </row>
    <row r="44" spans="1:3" s="85" customFormat="1" x14ac:dyDescent="0.25">
      <c r="A44" s="85" t="s">
        <v>121</v>
      </c>
      <c r="B44" s="85" t="s">
        <v>513</v>
      </c>
      <c r="C44" s="85" t="s">
        <v>523</v>
      </c>
    </row>
    <row r="45" spans="1:3" s="85" customFormat="1" x14ac:dyDescent="0.25">
      <c r="A45" s="85" t="s">
        <v>121</v>
      </c>
      <c r="B45" s="85" t="s">
        <v>513</v>
      </c>
      <c r="C45" s="85" t="s">
        <v>526</v>
      </c>
    </row>
    <row r="46" spans="1:3" s="85" customFormat="1" x14ac:dyDescent="0.25">
      <c r="A46" s="85" t="s">
        <v>121</v>
      </c>
      <c r="B46" s="85" t="s">
        <v>513</v>
      </c>
      <c r="C46" s="85" t="s">
        <v>531</v>
      </c>
    </row>
    <row r="47" spans="1:3" s="85" customFormat="1" x14ac:dyDescent="0.25">
      <c r="A47" s="85" t="s">
        <v>121</v>
      </c>
      <c r="B47" s="85" t="s">
        <v>513</v>
      </c>
      <c r="C47" s="85" t="s">
        <v>534</v>
      </c>
    </row>
    <row r="48" spans="1:3" s="85" customFormat="1" x14ac:dyDescent="0.25">
      <c r="A48" s="85" t="s">
        <v>121</v>
      </c>
      <c r="B48" s="85" t="s">
        <v>513</v>
      </c>
      <c r="C48" s="85" t="s">
        <v>536</v>
      </c>
    </row>
    <row r="49" spans="1:4" s="85" customFormat="1" x14ac:dyDescent="0.25">
      <c r="A49" s="85" t="s">
        <v>121</v>
      </c>
      <c r="B49" s="85" t="s">
        <v>513</v>
      </c>
      <c r="C49" s="85" t="s">
        <v>538</v>
      </c>
    </row>
    <row r="50" spans="1:4" s="85" customFormat="1" x14ac:dyDescent="0.25">
      <c r="A50" s="85" t="s">
        <v>121</v>
      </c>
      <c r="B50" s="85" t="s">
        <v>513</v>
      </c>
      <c r="C50" s="85" t="s">
        <v>540</v>
      </c>
    </row>
    <row r="51" spans="1:4" s="85" customFormat="1" x14ac:dyDescent="0.25">
      <c r="A51" s="85" t="s">
        <v>121</v>
      </c>
      <c r="B51" s="85" t="s">
        <v>513</v>
      </c>
      <c r="C51" s="85" t="s">
        <v>542</v>
      </c>
    </row>
    <row r="52" spans="1:4" s="85" customFormat="1" x14ac:dyDescent="0.25">
      <c r="A52" s="85" t="s">
        <v>121</v>
      </c>
      <c r="B52" s="85" t="s">
        <v>513</v>
      </c>
      <c r="C52" s="85" t="s">
        <v>545</v>
      </c>
    </row>
    <row r="53" spans="1:4" s="85" customFormat="1" x14ac:dyDescent="0.25">
      <c r="A53" s="85" t="s">
        <v>121</v>
      </c>
      <c r="B53" s="85" t="s">
        <v>513</v>
      </c>
      <c r="C53" s="85" t="s">
        <v>548</v>
      </c>
    </row>
    <row r="54" spans="1:4" s="85" customFormat="1" x14ac:dyDescent="0.25">
      <c r="A54" s="85" t="s">
        <v>121</v>
      </c>
      <c r="B54" s="85" t="s">
        <v>513</v>
      </c>
      <c r="C54" s="85" t="s">
        <v>550</v>
      </c>
    </row>
    <row r="55" spans="1:4" s="85" customFormat="1" x14ac:dyDescent="0.25">
      <c r="A55" s="85" t="s">
        <v>121</v>
      </c>
      <c r="B55" s="85" t="s">
        <v>513</v>
      </c>
      <c r="C55" s="85" t="s">
        <v>553</v>
      </c>
    </row>
    <row r="56" spans="1:4" s="85" customFormat="1" x14ac:dyDescent="0.25">
      <c r="A56" s="85" t="s">
        <v>121</v>
      </c>
      <c r="B56" s="85" t="s">
        <v>513</v>
      </c>
      <c r="C56" s="85" t="s">
        <v>555</v>
      </c>
    </row>
    <row r="57" spans="1:4" s="85" customFormat="1" x14ac:dyDescent="0.25">
      <c r="A57" s="85" t="s">
        <v>121</v>
      </c>
      <c r="B57" s="85" t="s">
        <v>513</v>
      </c>
      <c r="C57" s="85" t="s">
        <v>558</v>
      </c>
    </row>
    <row r="58" spans="1:4" s="85" customFormat="1" x14ac:dyDescent="0.25">
      <c r="A58" s="85" t="s">
        <v>121</v>
      </c>
      <c r="B58" s="85" t="s">
        <v>513</v>
      </c>
      <c r="C58" s="85" t="s">
        <v>569</v>
      </c>
    </row>
    <row r="59" spans="1:4" s="85" customFormat="1" x14ac:dyDescent="0.25">
      <c r="A59" s="85" t="s">
        <v>121</v>
      </c>
      <c r="B59" s="85" t="s">
        <v>513</v>
      </c>
      <c r="C59" s="85" t="s">
        <v>570</v>
      </c>
    </row>
    <row r="60" spans="1:4" s="85" customFormat="1" x14ac:dyDescent="0.25">
      <c r="A60" s="85" t="s">
        <v>121</v>
      </c>
      <c r="B60" s="85" t="s">
        <v>513</v>
      </c>
      <c r="C60" s="85" t="s">
        <v>581</v>
      </c>
    </row>
    <row r="61" spans="1:4" s="85" customFormat="1" x14ac:dyDescent="0.25">
      <c r="A61" s="85" t="s">
        <v>121</v>
      </c>
      <c r="B61" s="85" t="s">
        <v>611</v>
      </c>
      <c r="C61" s="85" t="s">
        <v>619</v>
      </c>
    </row>
    <row r="62" spans="1:4" s="85" customFormat="1" x14ac:dyDescent="0.25">
      <c r="A62" s="85" t="s">
        <v>121</v>
      </c>
      <c r="B62" s="85" t="s">
        <v>631</v>
      </c>
      <c r="C62" s="85" t="s">
        <v>520</v>
      </c>
    </row>
    <row r="63" spans="1:4" s="91" customFormat="1" x14ac:dyDescent="0.25">
      <c r="A63" s="91" t="s">
        <v>206</v>
      </c>
      <c r="B63" s="91" t="s">
        <v>142</v>
      </c>
      <c r="C63" s="91" t="s">
        <v>141</v>
      </c>
      <c r="D63" s="91">
        <v>5</v>
      </c>
    </row>
    <row r="64" spans="1:4" s="91" customFormat="1" x14ac:dyDescent="0.25">
      <c r="A64" s="91" t="s">
        <v>206</v>
      </c>
      <c r="B64" s="91" t="s">
        <v>267</v>
      </c>
      <c r="C64" s="91" t="s">
        <v>205</v>
      </c>
    </row>
    <row r="65" spans="1:4" s="91" customFormat="1" x14ac:dyDescent="0.25">
      <c r="A65" s="91" t="s">
        <v>206</v>
      </c>
      <c r="B65" s="91" t="s">
        <v>267</v>
      </c>
      <c r="C65" s="91" t="s">
        <v>217</v>
      </c>
    </row>
    <row r="66" spans="1:4" s="91" customFormat="1" x14ac:dyDescent="0.25">
      <c r="A66" s="91" t="s">
        <v>206</v>
      </c>
      <c r="B66" s="91" t="s">
        <v>267</v>
      </c>
      <c r="C66" s="91" t="s">
        <v>220</v>
      </c>
    </row>
    <row r="67" spans="1:4" s="91" customFormat="1" ht="14.45" x14ac:dyDescent="0.3">
      <c r="A67" s="91" t="s">
        <v>206</v>
      </c>
      <c r="B67" s="91" t="s">
        <v>357</v>
      </c>
      <c r="C67" s="91" t="s">
        <v>364</v>
      </c>
    </row>
    <row r="68" spans="1:4" s="91" customFormat="1" x14ac:dyDescent="0.25">
      <c r="A68" s="91" t="s">
        <v>206</v>
      </c>
      <c r="B68" s="91" t="s">
        <v>430</v>
      </c>
      <c r="C68" s="93" t="s">
        <v>431</v>
      </c>
    </row>
    <row r="69" spans="1:4" s="91" customFormat="1" ht="30" x14ac:dyDescent="0.25">
      <c r="A69" s="91" t="s">
        <v>206</v>
      </c>
      <c r="B69" s="91" t="s">
        <v>430</v>
      </c>
      <c r="C69" s="93" t="s">
        <v>415</v>
      </c>
    </row>
    <row r="70" spans="1:4" s="91" customFormat="1" x14ac:dyDescent="0.25">
      <c r="A70" s="91" t="s">
        <v>206</v>
      </c>
      <c r="B70" s="91" t="s">
        <v>430</v>
      </c>
      <c r="C70" s="91" t="s">
        <v>420</v>
      </c>
    </row>
    <row r="71" spans="1:4" s="91" customFormat="1" x14ac:dyDescent="0.25">
      <c r="A71" s="91" t="s">
        <v>206</v>
      </c>
      <c r="B71" s="91" t="s">
        <v>512</v>
      </c>
      <c r="C71" s="91" t="s">
        <v>498</v>
      </c>
    </row>
    <row r="72" spans="1:4" s="91" customFormat="1" x14ac:dyDescent="0.25">
      <c r="A72" s="91" t="s">
        <v>206</v>
      </c>
      <c r="B72" s="91" t="s">
        <v>512</v>
      </c>
      <c r="C72" s="91" t="s">
        <v>499</v>
      </c>
    </row>
    <row r="73" spans="1:4" s="56" customFormat="1" x14ac:dyDescent="0.25">
      <c r="A73" s="56" t="s">
        <v>60</v>
      </c>
      <c r="B73" s="56" t="s">
        <v>69</v>
      </c>
      <c r="C73" s="56" t="s">
        <v>59</v>
      </c>
      <c r="D73" s="56">
        <v>6</v>
      </c>
    </row>
    <row r="74" spans="1:4" s="56" customFormat="1" x14ac:dyDescent="0.25">
      <c r="A74" s="56" t="s">
        <v>60</v>
      </c>
      <c r="B74" s="56" t="s">
        <v>69</v>
      </c>
      <c r="C74" s="56" t="s">
        <v>66</v>
      </c>
    </row>
    <row r="75" spans="1:4" s="56" customFormat="1" x14ac:dyDescent="0.25">
      <c r="A75" s="56" t="s">
        <v>60</v>
      </c>
      <c r="B75" s="56" t="s">
        <v>117</v>
      </c>
      <c r="C75" s="56" t="s">
        <v>38</v>
      </c>
    </row>
    <row r="76" spans="1:4" s="56" customFormat="1" x14ac:dyDescent="0.25">
      <c r="A76" s="56" t="s">
        <v>60</v>
      </c>
      <c r="B76" s="56" t="s">
        <v>267</v>
      </c>
      <c r="C76" s="56" t="s">
        <v>222</v>
      </c>
    </row>
    <row r="77" spans="1:4" s="56" customFormat="1" x14ac:dyDescent="0.25">
      <c r="A77" s="56" t="s">
        <v>60</v>
      </c>
      <c r="B77" s="56" t="s">
        <v>355</v>
      </c>
      <c r="C77" s="94" t="s">
        <v>351</v>
      </c>
    </row>
    <row r="78" spans="1:4" s="56" customFormat="1" x14ac:dyDescent="0.25">
      <c r="A78" s="56" t="s">
        <v>60</v>
      </c>
      <c r="B78" s="56" t="s">
        <v>469</v>
      </c>
      <c r="C78" s="56" t="s">
        <v>473</v>
      </c>
    </row>
    <row r="79" spans="1:4" s="56" customFormat="1" x14ac:dyDescent="0.25">
      <c r="A79" s="56" t="s">
        <v>60</v>
      </c>
      <c r="B79" s="56" t="s">
        <v>469</v>
      </c>
      <c r="C79" s="56" t="s">
        <v>476</v>
      </c>
    </row>
    <row r="80" spans="1:4" s="56" customFormat="1" x14ac:dyDescent="0.25">
      <c r="A80" s="56" t="s">
        <v>60</v>
      </c>
      <c r="B80" s="56" t="s">
        <v>469</v>
      </c>
      <c r="C80" s="56" t="s">
        <v>479</v>
      </c>
    </row>
    <row r="81" spans="1:4" s="56" customFormat="1" x14ac:dyDescent="0.25">
      <c r="A81" s="56" t="s">
        <v>60</v>
      </c>
      <c r="B81" s="56" t="s">
        <v>469</v>
      </c>
      <c r="C81" s="56" t="s">
        <v>482</v>
      </c>
    </row>
    <row r="82" spans="1:4" s="56" customFormat="1" x14ac:dyDescent="0.25">
      <c r="A82" s="56" t="s">
        <v>60</v>
      </c>
      <c r="B82" s="56" t="s">
        <v>469</v>
      </c>
      <c r="C82" s="56" t="s">
        <v>485</v>
      </c>
    </row>
    <row r="83" spans="1:4" s="56" customFormat="1" x14ac:dyDescent="0.25">
      <c r="A83" s="56" t="s">
        <v>60</v>
      </c>
      <c r="B83" s="56" t="s">
        <v>469</v>
      </c>
      <c r="C83" s="56" t="s">
        <v>488</v>
      </c>
    </row>
    <row r="84" spans="1:4" s="56" customFormat="1" x14ac:dyDescent="0.25">
      <c r="A84" s="56" t="s">
        <v>60</v>
      </c>
      <c r="B84" s="56" t="s">
        <v>469</v>
      </c>
      <c r="C84" s="56" t="s">
        <v>490</v>
      </c>
    </row>
    <row r="85" spans="1:4" s="56" customFormat="1" x14ac:dyDescent="0.25">
      <c r="A85" s="56" t="s">
        <v>60</v>
      </c>
      <c r="B85" s="56" t="s">
        <v>495</v>
      </c>
      <c r="C85" s="56" t="s">
        <v>496</v>
      </c>
    </row>
    <row r="86" spans="1:4" s="49" customFormat="1" x14ac:dyDescent="0.25">
      <c r="A86" s="49" t="s">
        <v>176</v>
      </c>
      <c r="B86" s="49" t="s">
        <v>186</v>
      </c>
      <c r="C86" s="49" t="s">
        <v>175</v>
      </c>
      <c r="D86" s="49">
        <v>8</v>
      </c>
    </row>
    <row r="87" spans="1:4" s="49" customFormat="1" x14ac:dyDescent="0.25">
      <c r="A87" s="49" t="s">
        <v>176</v>
      </c>
      <c r="B87" s="49" t="s">
        <v>186</v>
      </c>
      <c r="C87" s="49" t="s">
        <v>180</v>
      </c>
    </row>
    <row r="88" spans="1:4" s="49" customFormat="1" x14ac:dyDescent="0.25">
      <c r="A88" s="49" t="s">
        <v>176</v>
      </c>
      <c r="B88" s="49" t="s">
        <v>267</v>
      </c>
      <c r="C88" s="49" t="s">
        <v>203</v>
      </c>
    </row>
    <row r="89" spans="1:4" s="49" customFormat="1" x14ac:dyDescent="0.25">
      <c r="A89" s="49" t="s">
        <v>176</v>
      </c>
      <c r="B89" s="49" t="s">
        <v>267</v>
      </c>
      <c r="C89" s="49" t="s">
        <v>208</v>
      </c>
    </row>
    <row r="90" spans="1:4" s="49" customFormat="1" x14ac:dyDescent="0.25">
      <c r="A90" s="49" t="s">
        <v>176</v>
      </c>
      <c r="B90" s="49" t="s">
        <v>267</v>
      </c>
      <c r="C90" s="49" t="s">
        <v>216</v>
      </c>
    </row>
    <row r="91" spans="1:4" s="49" customFormat="1" x14ac:dyDescent="0.25">
      <c r="A91" s="49" t="s">
        <v>176</v>
      </c>
      <c r="B91" s="49" t="s">
        <v>267</v>
      </c>
      <c r="C91" s="49" t="s">
        <v>219</v>
      </c>
    </row>
    <row r="92" spans="1:4" s="49" customFormat="1" x14ac:dyDescent="0.25">
      <c r="A92" s="49" t="s">
        <v>176</v>
      </c>
      <c r="B92" s="49" t="s">
        <v>267</v>
      </c>
      <c r="C92" s="49" t="s">
        <v>238</v>
      </c>
    </row>
    <row r="93" spans="1:4" s="49" customFormat="1" x14ac:dyDescent="0.25">
      <c r="A93" s="49" t="s">
        <v>176</v>
      </c>
      <c r="B93" s="49" t="s">
        <v>267</v>
      </c>
      <c r="C93" s="49" t="s">
        <v>251</v>
      </c>
    </row>
    <row r="94" spans="1:4" s="49" customFormat="1" x14ac:dyDescent="0.25">
      <c r="A94" s="49" t="s">
        <v>176</v>
      </c>
      <c r="B94" s="49" t="s">
        <v>267</v>
      </c>
      <c r="C94" s="49" t="s">
        <v>255</v>
      </c>
    </row>
    <row r="95" spans="1:4" s="49" customFormat="1" x14ac:dyDescent="0.25">
      <c r="A95" s="49" t="s">
        <v>176</v>
      </c>
      <c r="B95" s="49" t="s">
        <v>267</v>
      </c>
      <c r="C95" s="49" t="s">
        <v>257</v>
      </c>
    </row>
    <row r="96" spans="1:4" s="49" customFormat="1" x14ac:dyDescent="0.25">
      <c r="A96" s="49" t="s">
        <v>176</v>
      </c>
      <c r="B96" s="49" t="s">
        <v>267</v>
      </c>
      <c r="C96" s="49" t="s">
        <v>262</v>
      </c>
    </row>
    <row r="97" spans="1:4" s="49" customFormat="1" x14ac:dyDescent="0.25">
      <c r="A97" s="49" t="s">
        <v>176</v>
      </c>
      <c r="B97" s="49" t="s">
        <v>355</v>
      </c>
      <c r="C97" s="97" t="s">
        <v>346</v>
      </c>
    </row>
    <row r="98" spans="1:4" s="49" customFormat="1" x14ac:dyDescent="0.25">
      <c r="A98" s="49" t="s">
        <v>176</v>
      </c>
      <c r="B98" s="49" t="s">
        <v>430</v>
      </c>
      <c r="C98" s="49" t="s">
        <v>406</v>
      </c>
    </row>
    <row r="99" spans="1:4" s="49" customFormat="1" x14ac:dyDescent="0.25">
      <c r="A99" s="49" t="s">
        <v>176</v>
      </c>
      <c r="B99" s="49" t="s">
        <v>442</v>
      </c>
      <c r="C99" s="49" t="s">
        <v>435</v>
      </c>
    </row>
    <row r="100" spans="1:4" s="49" customFormat="1" x14ac:dyDescent="0.25">
      <c r="A100" s="49" t="s">
        <v>176</v>
      </c>
      <c r="B100" s="49" t="s">
        <v>512</v>
      </c>
      <c r="C100" s="49" t="s">
        <v>502</v>
      </c>
    </row>
    <row r="101" spans="1:4" s="49" customFormat="1" x14ac:dyDescent="0.25">
      <c r="A101" s="49" t="s">
        <v>176</v>
      </c>
      <c r="B101" s="49" t="s">
        <v>513</v>
      </c>
      <c r="C101" s="49" t="s">
        <v>584</v>
      </c>
    </row>
    <row r="102" spans="1:4" s="49" customFormat="1" x14ac:dyDescent="0.25">
      <c r="A102" s="49" t="s">
        <v>176</v>
      </c>
      <c r="B102" s="49" t="s">
        <v>588</v>
      </c>
      <c r="C102" s="49" t="s">
        <v>601</v>
      </c>
    </row>
    <row r="103" spans="1:4" s="57" customFormat="1" x14ac:dyDescent="0.25">
      <c r="A103" s="57" t="s">
        <v>134</v>
      </c>
      <c r="B103" s="57" t="s">
        <v>142</v>
      </c>
      <c r="C103" s="57" t="s">
        <v>133</v>
      </c>
      <c r="D103" s="57">
        <v>2</v>
      </c>
    </row>
    <row r="104" spans="1:4" s="57" customFormat="1" x14ac:dyDescent="0.25">
      <c r="A104" s="57" t="s">
        <v>134</v>
      </c>
      <c r="B104" s="57" t="s">
        <v>267</v>
      </c>
      <c r="C104" s="57" t="s">
        <v>201</v>
      </c>
    </row>
    <row r="105" spans="1:4" s="57" customFormat="1" x14ac:dyDescent="0.25">
      <c r="A105" s="57" t="s">
        <v>134</v>
      </c>
      <c r="B105" s="57" t="s">
        <v>267</v>
      </c>
      <c r="C105" s="57" t="s">
        <v>239</v>
      </c>
    </row>
    <row r="106" spans="1:4" s="98" customFormat="1" x14ac:dyDescent="0.25">
      <c r="A106" s="98" t="s">
        <v>243</v>
      </c>
      <c r="B106" s="98" t="s">
        <v>267</v>
      </c>
      <c r="C106" s="98" t="s">
        <v>242</v>
      </c>
      <c r="D106" s="98">
        <v>3</v>
      </c>
    </row>
    <row r="107" spans="1:4" s="98" customFormat="1" x14ac:dyDescent="0.25">
      <c r="A107" s="98" t="s">
        <v>243</v>
      </c>
      <c r="B107" s="98" t="s">
        <v>267</v>
      </c>
      <c r="C107" s="98" t="s">
        <v>245</v>
      </c>
    </row>
    <row r="108" spans="1:4" s="98" customFormat="1" x14ac:dyDescent="0.25">
      <c r="A108" s="98" t="s">
        <v>243</v>
      </c>
      <c r="B108" s="98" t="s">
        <v>267</v>
      </c>
      <c r="C108" s="98" t="s">
        <v>252</v>
      </c>
    </row>
    <row r="109" spans="1:4" s="98" customFormat="1" x14ac:dyDescent="0.25">
      <c r="A109" s="98" t="s">
        <v>243</v>
      </c>
      <c r="B109" s="98" t="s">
        <v>267</v>
      </c>
      <c r="C109" s="98" t="s">
        <v>258</v>
      </c>
    </row>
    <row r="110" spans="1:4" s="98" customFormat="1" x14ac:dyDescent="0.25">
      <c r="A110" s="98" t="s">
        <v>243</v>
      </c>
      <c r="B110" s="98" t="s">
        <v>267</v>
      </c>
      <c r="C110" s="98" t="s">
        <v>259</v>
      </c>
    </row>
    <row r="111" spans="1:4" s="98" customFormat="1" x14ac:dyDescent="0.25">
      <c r="A111" s="98" t="s">
        <v>243</v>
      </c>
      <c r="B111" s="98" t="s">
        <v>267</v>
      </c>
      <c r="C111" s="98" t="s">
        <v>260</v>
      </c>
    </row>
    <row r="112" spans="1:4" s="98" customFormat="1" x14ac:dyDescent="0.25">
      <c r="A112" s="98" t="s">
        <v>243</v>
      </c>
      <c r="B112" s="98" t="s">
        <v>267</v>
      </c>
      <c r="C112" s="98" t="s">
        <v>261</v>
      </c>
    </row>
    <row r="113" spans="1:4" s="98" customFormat="1" x14ac:dyDescent="0.25">
      <c r="A113" s="98" t="s">
        <v>243</v>
      </c>
      <c r="B113" s="98" t="s">
        <v>267</v>
      </c>
      <c r="C113" s="98" t="s">
        <v>264</v>
      </c>
    </row>
    <row r="114" spans="1:4" s="98" customFormat="1" x14ac:dyDescent="0.25">
      <c r="A114" s="98" t="s">
        <v>243</v>
      </c>
      <c r="B114" s="98" t="s">
        <v>512</v>
      </c>
      <c r="C114" s="98" t="s">
        <v>503</v>
      </c>
    </row>
    <row r="115" spans="1:4" s="98" customFormat="1" x14ac:dyDescent="0.25">
      <c r="A115" s="98" t="s">
        <v>243</v>
      </c>
      <c r="B115" s="98" t="s">
        <v>588</v>
      </c>
      <c r="C115" s="98" t="s">
        <v>443</v>
      </c>
    </row>
    <row r="116" spans="1:4" s="66" customFormat="1" x14ac:dyDescent="0.25">
      <c r="A116" s="66" t="s">
        <v>97</v>
      </c>
      <c r="B116" s="66" t="s">
        <v>117</v>
      </c>
      <c r="C116" s="66" t="s">
        <v>96</v>
      </c>
      <c r="D116" s="66">
        <v>3</v>
      </c>
    </row>
    <row r="117" spans="1:4" s="66" customFormat="1" x14ac:dyDescent="0.25">
      <c r="A117" s="66" t="s">
        <v>97</v>
      </c>
      <c r="B117" s="66" t="s">
        <v>355</v>
      </c>
      <c r="C117" s="100" t="s">
        <v>298</v>
      </c>
    </row>
    <row r="118" spans="1:4" s="66" customFormat="1" x14ac:dyDescent="0.25">
      <c r="A118" s="66" t="s">
        <v>97</v>
      </c>
      <c r="B118" s="66" t="s">
        <v>355</v>
      </c>
      <c r="C118" s="100" t="s">
        <v>301</v>
      </c>
    </row>
    <row r="119" spans="1:4" s="66" customFormat="1" x14ac:dyDescent="0.25">
      <c r="A119" s="66" t="s">
        <v>97</v>
      </c>
      <c r="B119" s="66" t="s">
        <v>355</v>
      </c>
      <c r="C119" s="100" t="s">
        <v>302</v>
      </c>
    </row>
    <row r="120" spans="1:4" s="66" customFormat="1" x14ac:dyDescent="0.25">
      <c r="A120" s="66" t="s">
        <v>97</v>
      </c>
      <c r="B120" s="66" t="s">
        <v>355</v>
      </c>
      <c r="C120" s="100" t="s">
        <v>305</v>
      </c>
    </row>
    <row r="121" spans="1:4" s="66" customFormat="1" x14ac:dyDescent="0.25">
      <c r="A121" s="66" t="s">
        <v>97</v>
      </c>
      <c r="B121" s="66" t="s">
        <v>355</v>
      </c>
      <c r="C121" s="100" t="s">
        <v>309</v>
      </c>
    </row>
    <row r="122" spans="1:4" s="66" customFormat="1" x14ac:dyDescent="0.25">
      <c r="A122" s="66" t="s">
        <v>97</v>
      </c>
      <c r="B122" s="66" t="s">
        <v>355</v>
      </c>
      <c r="C122" s="100" t="s">
        <v>310</v>
      </c>
    </row>
    <row r="123" spans="1:4" s="66" customFormat="1" x14ac:dyDescent="0.25">
      <c r="A123" s="66" t="s">
        <v>97</v>
      </c>
      <c r="B123" s="66" t="s">
        <v>355</v>
      </c>
      <c r="C123" s="100" t="s">
        <v>311</v>
      </c>
    </row>
    <row r="124" spans="1:4" s="66" customFormat="1" x14ac:dyDescent="0.25">
      <c r="A124" s="66" t="s">
        <v>97</v>
      </c>
      <c r="B124" s="66" t="s">
        <v>355</v>
      </c>
      <c r="C124" s="100" t="s">
        <v>313</v>
      </c>
    </row>
    <row r="125" spans="1:4" s="66" customFormat="1" x14ac:dyDescent="0.25">
      <c r="A125" s="66" t="s">
        <v>97</v>
      </c>
      <c r="B125" s="66" t="s">
        <v>355</v>
      </c>
      <c r="C125" s="100" t="s">
        <v>316</v>
      </c>
    </row>
    <row r="126" spans="1:4" s="66" customFormat="1" x14ac:dyDescent="0.25">
      <c r="A126" s="66" t="s">
        <v>97</v>
      </c>
      <c r="B126" s="66" t="s">
        <v>355</v>
      </c>
      <c r="C126" s="100" t="s">
        <v>342</v>
      </c>
    </row>
    <row r="127" spans="1:4" s="66" customFormat="1" x14ac:dyDescent="0.25">
      <c r="A127" s="66" t="s">
        <v>97</v>
      </c>
      <c r="B127" s="66" t="s">
        <v>430</v>
      </c>
      <c r="C127" s="66" t="s">
        <v>409</v>
      </c>
    </row>
    <row r="128" spans="1:4" s="66" customFormat="1" x14ac:dyDescent="0.25">
      <c r="A128" s="66" t="s">
        <v>97</v>
      </c>
      <c r="B128" s="66" t="s">
        <v>430</v>
      </c>
      <c r="C128" s="66" t="s">
        <v>410</v>
      </c>
    </row>
    <row r="129" spans="1:4" s="66" customFormat="1" x14ac:dyDescent="0.25">
      <c r="A129" s="66" t="s">
        <v>97</v>
      </c>
      <c r="B129" s="66" t="s">
        <v>430</v>
      </c>
      <c r="C129" s="100" t="s">
        <v>432</v>
      </c>
    </row>
    <row r="130" spans="1:4" s="66" customFormat="1" ht="17.45" customHeight="1" x14ac:dyDescent="0.25">
      <c r="A130" s="66" t="s">
        <v>97</v>
      </c>
      <c r="B130" s="66" t="s">
        <v>430</v>
      </c>
      <c r="C130" s="66" t="s">
        <v>413</v>
      </c>
    </row>
    <row r="131" spans="1:4" s="66" customFormat="1" x14ac:dyDescent="0.25">
      <c r="A131" s="66" t="s">
        <v>97</v>
      </c>
      <c r="B131" s="66" t="s">
        <v>430</v>
      </c>
      <c r="C131" s="66" t="s">
        <v>423</v>
      </c>
    </row>
    <row r="132" spans="1:4" s="66" customFormat="1" x14ac:dyDescent="0.25">
      <c r="A132" s="66" t="s">
        <v>97</v>
      </c>
      <c r="B132" s="66" t="s">
        <v>430</v>
      </c>
      <c r="C132" s="66" t="s">
        <v>424</v>
      </c>
    </row>
    <row r="133" spans="1:4" s="66" customFormat="1" x14ac:dyDescent="0.25">
      <c r="A133" s="66" t="s">
        <v>97</v>
      </c>
      <c r="B133" s="66" t="s">
        <v>430</v>
      </c>
      <c r="C133" s="66" t="s">
        <v>427</v>
      </c>
    </row>
    <row r="134" spans="1:4" s="66" customFormat="1" x14ac:dyDescent="0.25">
      <c r="A134" s="66" t="s">
        <v>97</v>
      </c>
      <c r="B134" s="66" t="s">
        <v>430</v>
      </c>
      <c r="C134" s="66" t="s">
        <v>429</v>
      </c>
    </row>
    <row r="135" spans="1:4" s="67" customFormat="1" x14ac:dyDescent="0.25">
      <c r="A135" s="67" t="s">
        <v>39</v>
      </c>
      <c r="B135" s="67" t="s">
        <v>58</v>
      </c>
      <c r="C135" s="67" t="s">
        <v>38</v>
      </c>
      <c r="D135" s="67">
        <v>3</v>
      </c>
    </row>
    <row r="136" spans="1:4" s="67" customFormat="1" x14ac:dyDescent="0.25">
      <c r="A136" s="67" t="s">
        <v>39</v>
      </c>
      <c r="B136" s="67" t="s">
        <v>58</v>
      </c>
      <c r="C136" s="67" t="s">
        <v>42</v>
      </c>
    </row>
    <row r="137" spans="1:4" s="67" customFormat="1" x14ac:dyDescent="0.25">
      <c r="A137" s="67" t="s">
        <v>39</v>
      </c>
      <c r="B137" s="67" t="s">
        <v>58</v>
      </c>
      <c r="C137" s="67" t="s">
        <v>47</v>
      </c>
    </row>
    <row r="138" spans="1:4" s="67" customFormat="1" x14ac:dyDescent="0.25">
      <c r="A138" s="67" t="s">
        <v>39</v>
      </c>
      <c r="B138" s="67" t="s">
        <v>58</v>
      </c>
      <c r="C138" s="67" t="s">
        <v>655</v>
      </c>
    </row>
    <row r="139" spans="1:4" s="67" customFormat="1" x14ac:dyDescent="0.25">
      <c r="A139" s="67" t="s">
        <v>39</v>
      </c>
      <c r="B139" s="67" t="s">
        <v>58</v>
      </c>
      <c r="C139" s="67" t="s">
        <v>50</v>
      </c>
    </row>
    <row r="140" spans="1:4" s="67" customFormat="1" x14ac:dyDescent="0.25">
      <c r="A140" s="67" t="s">
        <v>39</v>
      </c>
      <c r="B140" s="67" t="s">
        <v>58</v>
      </c>
      <c r="C140" s="67" t="s">
        <v>52</v>
      </c>
    </row>
    <row r="141" spans="1:4" s="67" customFormat="1" x14ac:dyDescent="0.25">
      <c r="A141" s="67" t="s">
        <v>39</v>
      </c>
      <c r="B141" s="67" t="s">
        <v>58</v>
      </c>
      <c r="C141" s="67" t="s">
        <v>54</v>
      </c>
    </row>
    <row r="142" spans="1:4" s="67" customFormat="1" x14ac:dyDescent="0.25">
      <c r="A142" s="67" t="s">
        <v>39</v>
      </c>
      <c r="B142" s="67" t="s">
        <v>58</v>
      </c>
      <c r="C142" s="67" t="s">
        <v>55</v>
      </c>
    </row>
    <row r="143" spans="1:4" s="67" customFormat="1" x14ac:dyDescent="0.25">
      <c r="A143" s="67" t="s">
        <v>39</v>
      </c>
      <c r="B143" s="67" t="s">
        <v>281</v>
      </c>
      <c r="C143" s="67" t="s">
        <v>292</v>
      </c>
    </row>
    <row r="144" spans="1:4" s="67" customFormat="1" x14ac:dyDescent="0.25">
      <c r="A144" s="67" t="s">
        <v>39</v>
      </c>
      <c r="B144" s="67" t="s">
        <v>281</v>
      </c>
      <c r="C144" s="67" t="s">
        <v>294</v>
      </c>
    </row>
    <row r="145" spans="1:4" s="67" customFormat="1" x14ac:dyDescent="0.25">
      <c r="A145" s="67" t="s">
        <v>39</v>
      </c>
      <c r="B145" s="67" t="s">
        <v>281</v>
      </c>
      <c r="C145" s="67" t="s">
        <v>296</v>
      </c>
    </row>
    <row r="146" spans="1:4" s="67" customFormat="1" x14ac:dyDescent="0.25">
      <c r="A146" s="67" t="s">
        <v>39</v>
      </c>
      <c r="B146" s="67" t="s">
        <v>357</v>
      </c>
      <c r="C146" s="67" t="s">
        <v>388</v>
      </c>
    </row>
    <row r="147" spans="1:4" s="67" customFormat="1" x14ac:dyDescent="0.25">
      <c r="A147" s="67" t="s">
        <v>39</v>
      </c>
      <c r="B147" s="67" t="s">
        <v>357</v>
      </c>
      <c r="C147" s="67" t="s">
        <v>391</v>
      </c>
    </row>
    <row r="148" spans="1:4" s="64" customFormat="1" x14ac:dyDescent="0.25">
      <c r="A148" s="64" t="s">
        <v>150</v>
      </c>
      <c r="B148" s="64" t="s">
        <v>172</v>
      </c>
      <c r="C148" s="64" t="s">
        <v>149</v>
      </c>
      <c r="D148" s="64">
        <v>2</v>
      </c>
    </row>
    <row r="149" spans="1:4" s="64" customFormat="1" x14ac:dyDescent="0.25">
      <c r="A149" s="64" t="s">
        <v>150</v>
      </c>
      <c r="B149" s="64" t="s">
        <v>512</v>
      </c>
      <c r="C149" s="64" t="s">
        <v>508</v>
      </c>
    </row>
    <row r="150" spans="1:4" s="64" customFormat="1" x14ac:dyDescent="0.25">
      <c r="A150" s="64" t="s">
        <v>150</v>
      </c>
      <c r="B150" s="64" t="s">
        <v>512</v>
      </c>
      <c r="C150" s="64" t="s">
        <v>509</v>
      </c>
    </row>
    <row r="151" spans="1:4" s="58" customFormat="1" x14ac:dyDescent="0.25">
      <c r="A151" s="58" t="s">
        <v>491</v>
      </c>
      <c r="B151" s="58" t="s">
        <v>512</v>
      </c>
      <c r="C151" s="58" t="s">
        <v>506</v>
      </c>
      <c r="D151" s="58">
        <v>1</v>
      </c>
    </row>
    <row r="152" spans="1:4" s="58" customFormat="1" x14ac:dyDescent="0.25">
      <c r="A152" s="58" t="s">
        <v>491</v>
      </c>
      <c r="B152" s="58" t="s">
        <v>512</v>
      </c>
      <c r="C152" s="58" t="s">
        <v>510</v>
      </c>
    </row>
    <row r="153" spans="1:4" s="12" customFormat="1" x14ac:dyDescent="0.25">
      <c r="A153" s="12" t="s">
        <v>418</v>
      </c>
      <c r="B153" s="12" t="s">
        <v>430</v>
      </c>
      <c r="C153" s="12" t="s">
        <v>417</v>
      </c>
      <c r="D153" s="12">
        <v>4</v>
      </c>
    </row>
    <row r="154" spans="1:4" s="12" customFormat="1" x14ac:dyDescent="0.25">
      <c r="A154" s="12" t="s">
        <v>418</v>
      </c>
      <c r="B154" s="12" t="s">
        <v>442</v>
      </c>
      <c r="C154" s="12" t="s">
        <v>441</v>
      </c>
    </row>
    <row r="155" spans="1:4" s="12" customFormat="1" x14ac:dyDescent="0.25">
      <c r="A155" s="12" t="s">
        <v>418</v>
      </c>
      <c r="B155" s="12" t="s">
        <v>512</v>
      </c>
      <c r="C155" s="12" t="s">
        <v>511</v>
      </c>
    </row>
    <row r="156" spans="1:4" s="12" customFormat="1" x14ac:dyDescent="0.25">
      <c r="A156" s="12" t="s">
        <v>418</v>
      </c>
      <c r="B156" s="12" t="s">
        <v>513</v>
      </c>
      <c r="C156" s="12" t="s">
        <v>560</v>
      </c>
    </row>
    <row r="157" spans="1:4" s="12" customFormat="1" x14ac:dyDescent="0.25">
      <c r="A157" s="12" t="s">
        <v>418</v>
      </c>
      <c r="B157" s="12" t="s">
        <v>513</v>
      </c>
      <c r="C157" s="12" t="s">
        <v>563</v>
      </c>
    </row>
    <row r="158" spans="1:4" s="63" customFormat="1" x14ac:dyDescent="0.25">
      <c r="A158" s="63" t="s">
        <v>105</v>
      </c>
      <c r="B158" s="63" t="s">
        <v>117</v>
      </c>
      <c r="C158" s="63" t="s">
        <v>104</v>
      </c>
      <c r="D158" s="63">
        <v>3</v>
      </c>
    </row>
    <row r="159" spans="1:4" s="63" customFormat="1" x14ac:dyDescent="0.25">
      <c r="A159" s="63" t="s">
        <v>105</v>
      </c>
      <c r="B159" s="63" t="s">
        <v>430</v>
      </c>
      <c r="C159" s="63" t="s">
        <v>422</v>
      </c>
    </row>
    <row r="160" spans="1:4" s="63" customFormat="1" x14ac:dyDescent="0.25">
      <c r="A160" s="63" t="s">
        <v>105</v>
      </c>
      <c r="B160" s="63" t="s">
        <v>442</v>
      </c>
      <c r="C160" s="63" t="s">
        <v>440</v>
      </c>
    </row>
    <row r="161" spans="1:4" s="65" customFormat="1" x14ac:dyDescent="0.25">
      <c r="A161" s="65" t="s">
        <v>328</v>
      </c>
      <c r="B161" s="65" t="s">
        <v>355</v>
      </c>
      <c r="C161" s="90" t="s">
        <v>327</v>
      </c>
      <c r="D161" s="65">
        <v>2</v>
      </c>
    </row>
    <row r="162" spans="1:4" s="65" customFormat="1" x14ac:dyDescent="0.25">
      <c r="A162" s="65" t="s">
        <v>328</v>
      </c>
      <c r="B162" s="65" t="s">
        <v>448</v>
      </c>
      <c r="C162" s="65" t="s">
        <v>452</v>
      </c>
    </row>
    <row r="163" spans="1:4" s="65" customFormat="1" x14ac:dyDescent="0.25">
      <c r="A163" s="65" t="s">
        <v>328</v>
      </c>
      <c r="B163" s="65" t="s">
        <v>448</v>
      </c>
      <c r="C163" s="65" t="s">
        <v>455</v>
      </c>
    </row>
    <row r="164" spans="1:4" s="51" customFormat="1" x14ac:dyDescent="0.25">
      <c r="A164" s="51" t="s">
        <v>88</v>
      </c>
      <c r="B164" s="51" t="s">
        <v>117</v>
      </c>
      <c r="C164" s="51" t="s">
        <v>87</v>
      </c>
      <c r="D164" s="51">
        <v>3</v>
      </c>
    </row>
    <row r="165" spans="1:4" s="51" customFormat="1" x14ac:dyDescent="0.25">
      <c r="A165" s="51" t="s">
        <v>88</v>
      </c>
      <c r="B165" s="51" t="s">
        <v>172</v>
      </c>
      <c r="C165" s="51" t="s">
        <v>153</v>
      </c>
    </row>
    <row r="166" spans="1:4" s="51" customFormat="1" x14ac:dyDescent="0.25">
      <c r="A166" s="51" t="s">
        <v>88</v>
      </c>
      <c r="B166" s="51" t="s">
        <v>172</v>
      </c>
      <c r="C166" s="51" t="s">
        <v>156</v>
      </c>
    </row>
    <row r="167" spans="1:4" s="51" customFormat="1" x14ac:dyDescent="0.25">
      <c r="A167" s="51" t="s">
        <v>88</v>
      </c>
      <c r="B167" s="51" t="s">
        <v>172</v>
      </c>
      <c r="C167" s="51" t="s">
        <v>160</v>
      </c>
    </row>
    <row r="168" spans="1:4" s="51" customFormat="1" x14ac:dyDescent="0.25">
      <c r="A168" s="51" t="s">
        <v>88</v>
      </c>
      <c r="B168" s="51" t="s">
        <v>355</v>
      </c>
      <c r="C168" s="96" t="s">
        <v>334</v>
      </c>
    </row>
    <row r="169" spans="1:4" s="51" customFormat="1" x14ac:dyDescent="0.25">
      <c r="A169" s="51" t="s">
        <v>88</v>
      </c>
      <c r="B169" s="51" t="s">
        <v>355</v>
      </c>
      <c r="C169" s="96" t="s">
        <v>336</v>
      </c>
    </row>
    <row r="170" spans="1:4" s="102" customFormat="1" x14ac:dyDescent="0.25">
      <c r="A170" s="102" t="s">
        <v>75</v>
      </c>
      <c r="B170" s="102" t="s">
        <v>117</v>
      </c>
      <c r="C170" s="102" t="s">
        <v>74</v>
      </c>
      <c r="D170" s="102">
        <v>6</v>
      </c>
    </row>
    <row r="171" spans="1:4" s="102" customFormat="1" x14ac:dyDescent="0.25">
      <c r="A171" s="102" t="s">
        <v>75</v>
      </c>
      <c r="B171" s="102" t="s">
        <v>117</v>
      </c>
      <c r="C171" s="102" t="s">
        <v>78</v>
      </c>
    </row>
    <row r="172" spans="1:4" s="102" customFormat="1" x14ac:dyDescent="0.25">
      <c r="A172" s="102" t="s">
        <v>75</v>
      </c>
      <c r="B172" s="102" t="s">
        <v>117</v>
      </c>
      <c r="C172" s="102" t="s">
        <v>80</v>
      </c>
    </row>
    <row r="173" spans="1:4" s="102" customFormat="1" x14ac:dyDescent="0.25">
      <c r="A173" s="102" t="s">
        <v>75</v>
      </c>
      <c r="B173" s="102" t="s">
        <v>117</v>
      </c>
      <c r="C173" s="102" t="s">
        <v>83</v>
      </c>
    </row>
    <row r="174" spans="1:4" s="102" customFormat="1" x14ac:dyDescent="0.25">
      <c r="A174" s="102" t="s">
        <v>75</v>
      </c>
      <c r="B174" s="102" t="s">
        <v>117</v>
      </c>
      <c r="C174" s="102" t="s">
        <v>85</v>
      </c>
    </row>
    <row r="175" spans="1:4" s="102" customFormat="1" x14ac:dyDescent="0.25">
      <c r="A175" s="102" t="s">
        <v>75</v>
      </c>
      <c r="B175" s="102" t="s">
        <v>117</v>
      </c>
      <c r="C175" s="102" t="s">
        <v>90</v>
      </c>
    </row>
    <row r="176" spans="1:4" s="102" customFormat="1" x14ac:dyDescent="0.25">
      <c r="A176" s="102" t="s">
        <v>75</v>
      </c>
      <c r="B176" s="102" t="s">
        <v>117</v>
      </c>
      <c r="C176" s="102" t="s">
        <v>92</v>
      </c>
    </row>
    <row r="177" spans="1:3" s="102" customFormat="1" x14ac:dyDescent="0.25">
      <c r="A177" s="102" t="s">
        <v>75</v>
      </c>
      <c r="B177" s="102" t="s">
        <v>117</v>
      </c>
      <c r="C177" s="102" t="s">
        <v>94</v>
      </c>
    </row>
    <row r="178" spans="1:3" s="102" customFormat="1" x14ac:dyDescent="0.25">
      <c r="A178" s="102" t="s">
        <v>75</v>
      </c>
      <c r="B178" s="102" t="s">
        <v>117</v>
      </c>
      <c r="C178" s="102" t="s">
        <v>100</v>
      </c>
    </row>
    <row r="179" spans="1:3" s="102" customFormat="1" x14ac:dyDescent="0.25">
      <c r="A179" s="102" t="s">
        <v>75</v>
      </c>
      <c r="B179" s="102" t="s">
        <v>117</v>
      </c>
      <c r="C179" s="102" t="s">
        <v>102</v>
      </c>
    </row>
    <row r="180" spans="1:3" s="102" customFormat="1" x14ac:dyDescent="0.25">
      <c r="A180" s="102" t="s">
        <v>75</v>
      </c>
      <c r="B180" s="102" t="s">
        <v>117</v>
      </c>
      <c r="C180" s="102" t="s">
        <v>107</v>
      </c>
    </row>
    <row r="181" spans="1:3" s="102" customFormat="1" x14ac:dyDescent="0.25">
      <c r="A181" s="102" t="s">
        <v>75</v>
      </c>
      <c r="B181" s="102" t="s">
        <v>117</v>
      </c>
      <c r="C181" s="102" t="s">
        <v>109</v>
      </c>
    </row>
    <row r="182" spans="1:3" s="102" customFormat="1" x14ac:dyDescent="0.25">
      <c r="A182" s="102" t="s">
        <v>75</v>
      </c>
      <c r="B182" s="102" t="s">
        <v>117</v>
      </c>
      <c r="C182" s="102" t="s">
        <v>112</v>
      </c>
    </row>
    <row r="183" spans="1:3" s="102" customFormat="1" x14ac:dyDescent="0.25">
      <c r="A183" s="102" t="s">
        <v>75</v>
      </c>
      <c r="B183" s="102" t="s">
        <v>281</v>
      </c>
      <c r="C183" s="102" t="s">
        <v>282</v>
      </c>
    </row>
    <row r="184" spans="1:3" s="102" customFormat="1" x14ac:dyDescent="0.25">
      <c r="A184" s="102" t="s">
        <v>75</v>
      </c>
      <c r="B184" s="102" t="s">
        <v>355</v>
      </c>
      <c r="C184" s="106" t="s">
        <v>318</v>
      </c>
    </row>
    <row r="185" spans="1:3" s="102" customFormat="1" x14ac:dyDescent="0.25">
      <c r="A185" s="102" t="s">
        <v>75</v>
      </c>
      <c r="B185" s="102" t="s">
        <v>355</v>
      </c>
      <c r="C185" s="106" t="s">
        <v>173</v>
      </c>
    </row>
    <row r="186" spans="1:3" s="102" customFormat="1" x14ac:dyDescent="0.25">
      <c r="A186" s="102" t="s">
        <v>75</v>
      </c>
      <c r="B186" s="102" t="s">
        <v>355</v>
      </c>
      <c r="C186" s="106" t="s">
        <v>323</v>
      </c>
    </row>
    <row r="187" spans="1:3" s="102" customFormat="1" x14ac:dyDescent="0.25">
      <c r="A187" s="102" t="s">
        <v>75</v>
      </c>
      <c r="B187" s="102" t="s">
        <v>355</v>
      </c>
      <c r="C187" s="106" t="s">
        <v>325</v>
      </c>
    </row>
    <row r="188" spans="1:3" s="102" customFormat="1" x14ac:dyDescent="0.25">
      <c r="A188" s="102" t="s">
        <v>75</v>
      </c>
      <c r="B188" s="102" t="s">
        <v>355</v>
      </c>
      <c r="C188" s="106" t="s">
        <v>344</v>
      </c>
    </row>
    <row r="189" spans="1:3" s="102" customFormat="1" x14ac:dyDescent="0.25">
      <c r="A189" s="102" t="s">
        <v>75</v>
      </c>
      <c r="B189" s="102" t="s">
        <v>355</v>
      </c>
      <c r="C189" s="106" t="s">
        <v>353</v>
      </c>
    </row>
    <row r="190" spans="1:3" s="102" customFormat="1" x14ac:dyDescent="0.25">
      <c r="A190" s="102" t="s">
        <v>75</v>
      </c>
      <c r="B190" s="102" t="s">
        <v>469</v>
      </c>
      <c r="C190" s="102" t="s">
        <v>470</v>
      </c>
    </row>
    <row r="191" spans="1:3" s="102" customFormat="1" x14ac:dyDescent="0.25">
      <c r="A191" s="102" t="s">
        <v>75</v>
      </c>
      <c r="B191" s="102" t="s">
        <v>588</v>
      </c>
      <c r="C191" s="102" t="s">
        <v>173</v>
      </c>
    </row>
    <row r="192" spans="1:3" s="102" customFormat="1" x14ac:dyDescent="0.25">
      <c r="A192" s="102" t="s">
        <v>75</v>
      </c>
      <c r="B192" s="102" t="s">
        <v>588</v>
      </c>
      <c r="C192" s="102" t="s">
        <v>598</v>
      </c>
    </row>
    <row r="193" spans="1:4" s="102" customFormat="1" x14ac:dyDescent="0.25">
      <c r="A193" s="107" t="s">
        <v>75</v>
      </c>
      <c r="B193" s="102" t="s">
        <v>664</v>
      </c>
      <c r="C193" s="102" t="s">
        <v>656</v>
      </c>
    </row>
    <row r="194" spans="1:4" s="102" customFormat="1" x14ac:dyDescent="0.25">
      <c r="A194" s="107" t="s">
        <v>75</v>
      </c>
      <c r="B194" s="102" t="s">
        <v>664</v>
      </c>
      <c r="C194" s="102" t="s">
        <v>662</v>
      </c>
    </row>
    <row r="195" spans="1:4" s="75" customFormat="1" x14ac:dyDescent="0.25">
      <c r="A195" s="75" t="s">
        <v>187</v>
      </c>
      <c r="B195" s="75" t="s">
        <v>32</v>
      </c>
      <c r="C195" s="75" t="s">
        <v>33</v>
      </c>
      <c r="D195" s="75">
        <v>8</v>
      </c>
    </row>
    <row r="196" spans="1:4" s="75" customFormat="1" x14ac:dyDescent="0.25">
      <c r="A196" s="75" t="s">
        <v>187</v>
      </c>
      <c r="B196" s="75" t="s">
        <v>186</v>
      </c>
      <c r="C196" s="75" t="s">
        <v>183</v>
      </c>
    </row>
    <row r="197" spans="1:4" s="75" customFormat="1" x14ac:dyDescent="0.25">
      <c r="A197" s="75" t="s">
        <v>187</v>
      </c>
      <c r="B197" s="75" t="s">
        <v>197</v>
      </c>
      <c r="C197" s="75" t="s">
        <v>193</v>
      </c>
    </row>
    <row r="198" spans="1:4" s="75" customFormat="1" x14ac:dyDescent="0.25">
      <c r="A198" s="75" t="s">
        <v>187</v>
      </c>
      <c r="B198" s="75" t="s">
        <v>197</v>
      </c>
      <c r="C198" s="75" t="s">
        <v>195</v>
      </c>
    </row>
    <row r="199" spans="1:4" s="75" customFormat="1" x14ac:dyDescent="0.25">
      <c r="A199" s="75" t="s">
        <v>187</v>
      </c>
      <c r="B199" s="75" t="s">
        <v>197</v>
      </c>
      <c r="C199" s="75" t="s">
        <v>196</v>
      </c>
    </row>
    <row r="200" spans="1:4" s="75" customFormat="1" x14ac:dyDescent="0.25">
      <c r="A200" s="75" t="s">
        <v>187</v>
      </c>
      <c r="B200" s="75" t="s">
        <v>267</v>
      </c>
      <c r="C200" s="75" t="s">
        <v>210</v>
      </c>
    </row>
    <row r="201" spans="1:4" s="75" customFormat="1" x14ac:dyDescent="0.25">
      <c r="A201" s="75" t="s">
        <v>187</v>
      </c>
      <c r="B201" s="75" t="s">
        <v>267</v>
      </c>
      <c r="C201" s="75" t="s">
        <v>214</v>
      </c>
    </row>
    <row r="202" spans="1:4" s="75" customFormat="1" x14ac:dyDescent="0.25">
      <c r="A202" s="75" t="s">
        <v>187</v>
      </c>
      <c r="B202" s="75" t="s">
        <v>267</v>
      </c>
      <c r="C202" s="75" t="s">
        <v>214</v>
      </c>
    </row>
    <row r="203" spans="1:4" s="75" customFormat="1" x14ac:dyDescent="0.25">
      <c r="A203" s="75" t="s">
        <v>187</v>
      </c>
      <c r="B203" s="75" t="s">
        <v>357</v>
      </c>
      <c r="C203" s="75" t="s">
        <v>367</v>
      </c>
    </row>
    <row r="204" spans="1:4" s="75" customFormat="1" x14ac:dyDescent="0.25">
      <c r="A204" s="75" t="s">
        <v>187</v>
      </c>
      <c r="B204" s="75" t="s">
        <v>442</v>
      </c>
      <c r="C204" s="75" t="s">
        <v>434</v>
      </c>
    </row>
    <row r="205" spans="1:4" s="75" customFormat="1" ht="14.45" x14ac:dyDescent="0.3">
      <c r="A205" s="75" t="s">
        <v>187</v>
      </c>
      <c r="B205" s="75" t="s">
        <v>442</v>
      </c>
      <c r="C205" s="75" t="s">
        <v>438</v>
      </c>
    </row>
    <row r="206" spans="1:4" s="75" customFormat="1" x14ac:dyDescent="0.25">
      <c r="A206" s="75" t="s">
        <v>187</v>
      </c>
      <c r="B206" s="75" t="s">
        <v>588</v>
      </c>
      <c r="C206" s="75" t="s">
        <v>607</v>
      </c>
    </row>
    <row r="207" spans="1:4" s="75" customFormat="1" x14ac:dyDescent="0.25">
      <c r="A207" s="75" t="s">
        <v>187</v>
      </c>
      <c r="B207" s="75" t="s">
        <v>611</v>
      </c>
      <c r="C207" s="75" t="s">
        <v>616</v>
      </c>
    </row>
    <row r="208" spans="1:4" s="53" customFormat="1" x14ac:dyDescent="0.25">
      <c r="A208" s="53" t="s">
        <v>402</v>
      </c>
      <c r="B208" s="53" t="s">
        <v>399</v>
      </c>
      <c r="C208" s="53" t="s">
        <v>401</v>
      </c>
      <c r="D208" s="53">
        <v>2</v>
      </c>
    </row>
    <row r="209" spans="1:4" s="53" customFormat="1" x14ac:dyDescent="0.25">
      <c r="A209" s="53" t="s">
        <v>402</v>
      </c>
      <c r="B209" s="53" t="s">
        <v>399</v>
      </c>
      <c r="C209" s="53" t="s">
        <v>404</v>
      </c>
    </row>
    <row r="210" spans="1:4" s="53" customFormat="1" x14ac:dyDescent="0.25">
      <c r="A210" s="53" t="s">
        <v>402</v>
      </c>
      <c r="B210" s="53" t="s">
        <v>631</v>
      </c>
      <c r="C210" s="53" t="s">
        <v>623</v>
      </c>
    </row>
    <row r="211" spans="1:4" s="53" customFormat="1" x14ac:dyDescent="0.25">
      <c r="A211" s="53" t="s">
        <v>402</v>
      </c>
      <c r="B211" s="53" t="s">
        <v>631</v>
      </c>
      <c r="C211" s="53" t="s">
        <v>626</v>
      </c>
    </row>
    <row r="212" spans="1:4" s="53" customFormat="1" x14ac:dyDescent="0.25">
      <c r="A212" s="53" t="s">
        <v>402</v>
      </c>
      <c r="B212" s="53" t="s">
        <v>631</v>
      </c>
      <c r="C212" s="53" t="s">
        <v>628</v>
      </c>
    </row>
    <row r="213" spans="1:4" s="121" customFormat="1" x14ac:dyDescent="0.25">
      <c r="A213" s="121" t="s">
        <v>572</v>
      </c>
      <c r="B213" s="121" t="s">
        <v>513</v>
      </c>
      <c r="C213" s="121" t="s">
        <v>571</v>
      </c>
      <c r="D213" s="121">
        <v>1</v>
      </c>
    </row>
    <row r="214" spans="1:4" s="121" customFormat="1" x14ac:dyDescent="0.25">
      <c r="A214" s="121" t="s">
        <v>572</v>
      </c>
      <c r="B214" s="121" t="s">
        <v>513</v>
      </c>
      <c r="C214" s="121" t="s">
        <v>575</v>
      </c>
    </row>
    <row r="215" spans="1:4" s="50" customFormat="1" x14ac:dyDescent="0.25">
      <c r="A215" s="50" t="s">
        <v>129</v>
      </c>
      <c r="B215" s="50" t="s">
        <v>142</v>
      </c>
      <c r="C215" s="50" t="s">
        <v>128</v>
      </c>
      <c r="D215" s="50">
        <v>2</v>
      </c>
    </row>
    <row r="216" spans="1:4" s="50" customFormat="1" x14ac:dyDescent="0.25">
      <c r="A216" s="50" t="s">
        <v>129</v>
      </c>
      <c r="B216" s="50" t="s">
        <v>142</v>
      </c>
      <c r="C216" s="50" t="s">
        <v>131</v>
      </c>
    </row>
    <row r="217" spans="1:4" s="50" customFormat="1" x14ac:dyDescent="0.25">
      <c r="A217" s="50" t="s">
        <v>129</v>
      </c>
      <c r="B217" s="50" t="s">
        <v>142</v>
      </c>
      <c r="C217" s="50" t="s">
        <v>138</v>
      </c>
    </row>
    <row r="218" spans="1:4" s="50" customFormat="1" x14ac:dyDescent="0.25">
      <c r="A218" s="50" t="s">
        <v>129</v>
      </c>
      <c r="B218" s="50" t="s">
        <v>442</v>
      </c>
      <c r="C218" s="50" t="s">
        <v>437</v>
      </c>
    </row>
    <row r="219" spans="1:4" s="59" customFormat="1" x14ac:dyDescent="0.25">
      <c r="A219" s="59" t="s">
        <v>12</v>
      </c>
      <c r="B219" s="59" t="s">
        <v>31</v>
      </c>
      <c r="C219" s="59" t="s">
        <v>11</v>
      </c>
      <c r="D219" s="59">
        <v>8</v>
      </c>
    </row>
    <row r="220" spans="1:4" s="59" customFormat="1" x14ac:dyDescent="0.25">
      <c r="A220" s="59" t="s">
        <v>12</v>
      </c>
      <c r="B220" s="59" t="s">
        <v>31</v>
      </c>
      <c r="C220" s="59" t="s">
        <v>18</v>
      </c>
    </row>
    <row r="221" spans="1:4" s="59" customFormat="1" x14ac:dyDescent="0.25">
      <c r="A221" s="59" t="s">
        <v>12</v>
      </c>
      <c r="B221" s="59" t="s">
        <v>31</v>
      </c>
      <c r="C221" s="59" t="s">
        <v>20</v>
      </c>
    </row>
    <row r="222" spans="1:4" s="59" customFormat="1" x14ac:dyDescent="0.25">
      <c r="A222" s="59" t="s">
        <v>12</v>
      </c>
      <c r="B222" s="59" t="s">
        <v>31</v>
      </c>
      <c r="C222" s="59" t="s">
        <v>22</v>
      </c>
    </row>
    <row r="223" spans="1:4" s="59" customFormat="1" x14ac:dyDescent="0.25">
      <c r="A223" s="59" t="s">
        <v>12</v>
      </c>
      <c r="B223" s="59" t="s">
        <v>31</v>
      </c>
      <c r="C223" s="59" t="s">
        <v>24</v>
      </c>
    </row>
    <row r="224" spans="1:4" s="59" customFormat="1" x14ac:dyDescent="0.25">
      <c r="A224" s="59" t="s">
        <v>12</v>
      </c>
      <c r="B224" s="59" t="s">
        <v>31</v>
      </c>
      <c r="C224" s="59" t="s">
        <v>26</v>
      </c>
    </row>
    <row r="225" spans="1:4" s="59" customFormat="1" x14ac:dyDescent="0.25">
      <c r="A225" s="59" t="s">
        <v>12</v>
      </c>
      <c r="B225" s="59" t="s">
        <v>31</v>
      </c>
      <c r="C225" s="59" t="s">
        <v>29</v>
      </c>
    </row>
    <row r="226" spans="1:4" s="59" customFormat="1" x14ac:dyDescent="0.25">
      <c r="A226" s="59" t="s">
        <v>12</v>
      </c>
      <c r="B226" s="59" t="s">
        <v>69</v>
      </c>
      <c r="C226" s="59" t="s">
        <v>63</v>
      </c>
    </row>
    <row r="227" spans="1:4" s="59" customFormat="1" x14ac:dyDescent="0.25">
      <c r="A227" s="59" t="s">
        <v>12</v>
      </c>
      <c r="B227" s="59" t="s">
        <v>142</v>
      </c>
      <c r="C227" s="59" t="s">
        <v>136</v>
      </c>
    </row>
    <row r="228" spans="1:4" s="59" customFormat="1" x14ac:dyDescent="0.25">
      <c r="A228" s="59" t="s">
        <v>12</v>
      </c>
      <c r="B228" s="59" t="s">
        <v>142</v>
      </c>
      <c r="C228" s="59" t="s">
        <v>140</v>
      </c>
    </row>
    <row r="229" spans="1:4" s="59" customFormat="1" x14ac:dyDescent="0.25">
      <c r="A229" s="59" t="s">
        <v>12</v>
      </c>
      <c r="B229" s="59" t="s">
        <v>172</v>
      </c>
      <c r="C229" s="59" t="s">
        <v>143</v>
      </c>
    </row>
    <row r="230" spans="1:4" s="59" customFormat="1" x14ac:dyDescent="0.25">
      <c r="A230" s="59" t="s">
        <v>12</v>
      </c>
      <c r="B230" s="59" t="s">
        <v>172</v>
      </c>
      <c r="C230" s="59" t="s">
        <v>146</v>
      </c>
    </row>
    <row r="231" spans="1:4" s="59" customFormat="1" x14ac:dyDescent="0.25">
      <c r="A231" s="59" t="s">
        <v>12</v>
      </c>
      <c r="B231" s="59" t="s">
        <v>172</v>
      </c>
      <c r="C231" s="59" t="s">
        <v>166</v>
      </c>
    </row>
    <row r="232" spans="1:4" s="59" customFormat="1" x14ac:dyDescent="0.25">
      <c r="A232" s="59" t="s">
        <v>12</v>
      </c>
      <c r="B232" s="59" t="s">
        <v>267</v>
      </c>
      <c r="C232" s="59" t="s">
        <v>223</v>
      </c>
    </row>
    <row r="233" spans="1:4" s="59" customFormat="1" ht="14.45" x14ac:dyDescent="0.3">
      <c r="A233" s="59" t="s">
        <v>12</v>
      </c>
      <c r="B233" s="59" t="s">
        <v>442</v>
      </c>
      <c r="C233" s="59" t="s">
        <v>433</v>
      </c>
    </row>
    <row r="234" spans="1:4" s="59" customFormat="1" x14ac:dyDescent="0.25">
      <c r="A234" s="59" t="s">
        <v>12</v>
      </c>
      <c r="B234" s="59" t="s">
        <v>447</v>
      </c>
      <c r="C234" s="59" t="s">
        <v>444</v>
      </c>
    </row>
    <row r="235" spans="1:4" s="59" customFormat="1" x14ac:dyDescent="0.25">
      <c r="A235" s="59" t="s">
        <v>12</v>
      </c>
      <c r="B235" s="59" t="s">
        <v>448</v>
      </c>
      <c r="C235" s="59" t="s">
        <v>449</v>
      </c>
    </row>
    <row r="236" spans="1:4" s="108" customFormat="1" x14ac:dyDescent="0.25">
      <c r="A236" s="108" t="s">
        <v>466</v>
      </c>
      <c r="B236" s="108" t="s">
        <v>464</v>
      </c>
      <c r="C236" s="108" t="s">
        <v>465</v>
      </c>
      <c r="D236" s="108">
        <v>3</v>
      </c>
    </row>
    <row r="237" spans="1:4" s="108" customFormat="1" x14ac:dyDescent="0.25">
      <c r="A237" s="108" t="s">
        <v>466</v>
      </c>
      <c r="B237" s="108" t="s">
        <v>512</v>
      </c>
      <c r="C237" s="108" t="s">
        <v>504</v>
      </c>
    </row>
    <row r="238" spans="1:4" s="108" customFormat="1" ht="16.149999999999999" customHeight="1" x14ac:dyDescent="0.25">
      <c r="A238" s="108" t="s">
        <v>466</v>
      </c>
      <c r="B238" s="108" t="s">
        <v>668</v>
      </c>
      <c r="C238" s="108" t="s">
        <v>665</v>
      </c>
    </row>
    <row r="239" spans="1:4" s="111" customFormat="1" x14ac:dyDescent="0.25">
      <c r="A239" s="111" t="s">
        <v>269</v>
      </c>
      <c r="B239" s="111" t="s">
        <v>278</v>
      </c>
      <c r="C239" s="111" t="s">
        <v>268</v>
      </c>
      <c r="D239" s="111">
        <v>6</v>
      </c>
    </row>
    <row r="240" spans="1:4" s="111" customFormat="1" x14ac:dyDescent="0.25">
      <c r="A240" s="111" t="s">
        <v>269</v>
      </c>
      <c r="B240" s="111" t="s">
        <v>278</v>
      </c>
      <c r="C240" s="111" t="s">
        <v>271</v>
      </c>
    </row>
    <row r="241" spans="1:4" s="111" customFormat="1" x14ac:dyDescent="0.25">
      <c r="A241" s="111" t="s">
        <v>269</v>
      </c>
      <c r="B241" s="111" t="s">
        <v>278</v>
      </c>
      <c r="C241" s="111" t="s">
        <v>273</v>
      </c>
    </row>
    <row r="242" spans="1:4" s="111" customFormat="1" x14ac:dyDescent="0.25">
      <c r="A242" s="111" t="s">
        <v>269</v>
      </c>
      <c r="B242" s="111" t="s">
        <v>278</v>
      </c>
      <c r="C242" s="111" t="s">
        <v>274</v>
      </c>
    </row>
    <row r="243" spans="1:4" s="111" customFormat="1" x14ac:dyDescent="0.25">
      <c r="A243" s="111" t="s">
        <v>269</v>
      </c>
      <c r="B243" s="111" t="s">
        <v>357</v>
      </c>
      <c r="C243" s="111" t="s">
        <v>369</v>
      </c>
    </row>
    <row r="244" spans="1:4" s="111" customFormat="1" x14ac:dyDescent="0.25">
      <c r="A244" s="111" t="s">
        <v>269</v>
      </c>
      <c r="B244" s="111" t="s">
        <v>398</v>
      </c>
      <c r="C244" s="111" t="s">
        <v>394</v>
      </c>
    </row>
    <row r="245" spans="1:4" s="111" customFormat="1" x14ac:dyDescent="0.25">
      <c r="A245" s="111" t="s">
        <v>269</v>
      </c>
      <c r="B245" s="111" t="s">
        <v>398</v>
      </c>
      <c r="C245" s="111" t="s">
        <v>395</v>
      </c>
    </row>
    <row r="246" spans="1:4" s="111" customFormat="1" x14ac:dyDescent="0.25">
      <c r="A246" s="111" t="s">
        <v>269</v>
      </c>
      <c r="B246" s="111" t="s">
        <v>399</v>
      </c>
      <c r="C246" s="111" t="s">
        <v>400</v>
      </c>
    </row>
    <row r="247" spans="1:4" s="111" customFormat="1" x14ac:dyDescent="0.25">
      <c r="A247" s="111" t="s">
        <v>269</v>
      </c>
      <c r="B247" s="111" t="s">
        <v>399</v>
      </c>
      <c r="C247" s="111" t="s">
        <v>405</v>
      </c>
    </row>
    <row r="248" spans="1:4" s="111" customFormat="1" x14ac:dyDescent="0.25">
      <c r="A248" s="111" t="s">
        <v>269</v>
      </c>
      <c r="B248" s="111" t="s">
        <v>442</v>
      </c>
      <c r="C248" s="111" t="s">
        <v>653</v>
      </c>
    </row>
    <row r="249" spans="1:4" s="111" customFormat="1" x14ac:dyDescent="0.25">
      <c r="A249" s="111" t="s">
        <v>269</v>
      </c>
      <c r="B249" s="111" t="s">
        <v>513</v>
      </c>
      <c r="C249" s="111" t="s">
        <v>529</v>
      </c>
    </row>
    <row r="250" spans="1:4" s="113" customFormat="1" x14ac:dyDescent="0.25">
      <c r="A250" s="113" t="s">
        <v>164</v>
      </c>
      <c r="B250" s="113" t="s">
        <v>172</v>
      </c>
      <c r="C250" s="113" t="s">
        <v>163</v>
      </c>
      <c r="D250" s="113">
        <v>3</v>
      </c>
    </row>
    <row r="251" spans="1:4" s="113" customFormat="1" x14ac:dyDescent="0.25">
      <c r="A251" s="113" t="s">
        <v>164</v>
      </c>
      <c r="B251" s="113" t="s">
        <v>355</v>
      </c>
      <c r="C251" s="115" t="s">
        <v>330</v>
      </c>
    </row>
    <row r="252" spans="1:4" s="113" customFormat="1" x14ac:dyDescent="0.25">
      <c r="A252" s="113" t="s">
        <v>164</v>
      </c>
      <c r="B252" s="113" t="s">
        <v>355</v>
      </c>
      <c r="C252" s="115" t="s">
        <v>332</v>
      </c>
    </row>
    <row r="253" spans="1:4" s="113" customFormat="1" x14ac:dyDescent="0.25">
      <c r="A253" s="116" t="s">
        <v>164</v>
      </c>
      <c r="B253" s="113" t="s">
        <v>664</v>
      </c>
      <c r="C253" s="113" t="s">
        <v>659</v>
      </c>
    </row>
    <row r="254" spans="1:4" s="117" customFormat="1" x14ac:dyDescent="0.25">
      <c r="A254" s="117" t="s">
        <v>372</v>
      </c>
      <c r="B254" s="117" t="s">
        <v>58</v>
      </c>
      <c r="C254" s="117" t="s">
        <v>45</v>
      </c>
      <c r="D254" s="117">
        <v>4</v>
      </c>
    </row>
    <row r="255" spans="1:4" s="117" customFormat="1" x14ac:dyDescent="0.25">
      <c r="A255" s="117" t="s">
        <v>372</v>
      </c>
      <c r="B255" s="117" t="s">
        <v>281</v>
      </c>
      <c r="C255" s="117" t="s">
        <v>287</v>
      </c>
    </row>
    <row r="256" spans="1:4" s="117" customFormat="1" x14ac:dyDescent="0.25">
      <c r="A256" s="117" t="s">
        <v>372</v>
      </c>
      <c r="B256" s="117" t="s">
        <v>281</v>
      </c>
      <c r="C256" s="117" t="s">
        <v>289</v>
      </c>
    </row>
    <row r="257" spans="1:4" s="117" customFormat="1" x14ac:dyDescent="0.25">
      <c r="A257" s="117" t="s">
        <v>372</v>
      </c>
      <c r="B257" s="117" t="s">
        <v>281</v>
      </c>
      <c r="C257" s="117" t="s">
        <v>290</v>
      </c>
    </row>
    <row r="258" spans="1:4" s="117" customFormat="1" x14ac:dyDescent="0.25">
      <c r="A258" s="117" t="s">
        <v>372</v>
      </c>
      <c r="B258" s="117" t="s">
        <v>281</v>
      </c>
      <c r="C258" s="117" t="s">
        <v>291</v>
      </c>
    </row>
    <row r="259" spans="1:4" s="117" customFormat="1" x14ac:dyDescent="0.25">
      <c r="A259" s="117" t="s">
        <v>372</v>
      </c>
      <c r="B259" s="117" t="s">
        <v>357</v>
      </c>
      <c r="C259" s="117" t="s">
        <v>371</v>
      </c>
    </row>
    <row r="260" spans="1:4" s="117" customFormat="1" x14ac:dyDescent="0.25">
      <c r="A260" s="117" t="s">
        <v>372</v>
      </c>
      <c r="B260" s="117" t="s">
        <v>357</v>
      </c>
      <c r="C260" s="117" t="s">
        <v>375</v>
      </c>
    </row>
    <row r="261" spans="1:4" s="117" customFormat="1" x14ac:dyDescent="0.25">
      <c r="A261" s="117" t="s">
        <v>372</v>
      </c>
      <c r="B261" s="117" t="s">
        <v>357</v>
      </c>
      <c r="C261" s="117" t="s">
        <v>377</v>
      </c>
    </row>
    <row r="262" spans="1:4" s="117" customFormat="1" x14ac:dyDescent="0.25">
      <c r="A262" s="117" t="s">
        <v>372</v>
      </c>
      <c r="B262" s="117" t="s">
        <v>357</v>
      </c>
      <c r="C262" s="117" t="s">
        <v>379</v>
      </c>
    </row>
    <row r="263" spans="1:4" s="117" customFormat="1" x14ac:dyDescent="0.25">
      <c r="A263" s="117" t="s">
        <v>372</v>
      </c>
      <c r="B263" s="117" t="s">
        <v>357</v>
      </c>
      <c r="C263" s="117" t="s">
        <v>380</v>
      </c>
    </row>
    <row r="264" spans="1:4" s="117" customFormat="1" x14ac:dyDescent="0.25">
      <c r="A264" s="117" t="s">
        <v>372</v>
      </c>
      <c r="B264" s="117" t="s">
        <v>357</v>
      </c>
      <c r="C264" s="117" t="s">
        <v>382</v>
      </c>
    </row>
    <row r="265" spans="1:4" s="117" customFormat="1" x14ac:dyDescent="0.25">
      <c r="A265" s="117" t="s">
        <v>372</v>
      </c>
      <c r="B265" s="117" t="s">
        <v>357</v>
      </c>
      <c r="C265" s="117" t="s">
        <v>384</v>
      </c>
    </row>
    <row r="266" spans="1:4" s="117" customFormat="1" x14ac:dyDescent="0.25">
      <c r="A266" s="117" t="s">
        <v>372</v>
      </c>
      <c r="B266" s="117" t="s">
        <v>469</v>
      </c>
      <c r="C266" s="117" t="s">
        <v>492</v>
      </c>
    </row>
    <row r="267" spans="1:4" s="60" customFormat="1" x14ac:dyDescent="0.25">
      <c r="A267" s="60" t="s">
        <v>386</v>
      </c>
      <c r="B267" s="60" t="s">
        <v>281</v>
      </c>
      <c r="C267" s="60" t="s">
        <v>285</v>
      </c>
      <c r="D267" s="60">
        <v>2</v>
      </c>
    </row>
    <row r="268" spans="1:4" s="120" customFormat="1" ht="15" customHeight="1" x14ac:dyDescent="0.25">
      <c r="A268" s="60" t="s">
        <v>386</v>
      </c>
      <c r="B268" s="60" t="s">
        <v>357</v>
      </c>
      <c r="C268" s="60" t="s">
        <v>384</v>
      </c>
    </row>
  </sheetData>
  <pageMargins left="0.7" right="0.7" top="0.75" bottom="0.75" header="0.3" footer="0.3"/>
  <pageSetup paperSize="9" orientation="portrait"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Gagnasett</vt:lpstr>
      <vt:lpstr>fjöldi m.ára</vt:lpstr>
      <vt:lpstr>INSPIRE þemu m.ára</vt:lpstr>
      <vt:lpstr>eftir insp.flokkun (join)</vt:lpstr>
      <vt:lpstr>eftir insp.flokkun</vt:lpstr>
      <vt:lpstr>Óskir</vt:lpstr>
      <vt:lpstr>fjöldi stofnana á þema</vt:lpstr>
      <vt:lpstr>Gagnasett!Print_Area</vt:lpstr>
      <vt:lpstr>Óskir!Print_Area</vt:lpstr>
      <vt:lpstr>Gagnasett!Print_Titles</vt:lpstr>
      <vt:lpstr>Óskir!Print_Titles</vt:lpstr>
      <vt:lpstr>tafla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arni</dc:creator>
  <cp:lastModifiedBy>Guðni Hannesson</cp:lastModifiedBy>
  <cp:lastPrinted>2013-03-22T11:03:24Z</cp:lastPrinted>
  <dcterms:created xsi:type="dcterms:W3CDTF">2012-08-10T09:40:12Z</dcterms:created>
  <dcterms:modified xsi:type="dcterms:W3CDTF">2013-03-22T11:04:23Z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oogle.Documents.Tracking">
    <vt:lpwstr>false</vt:lpwstr>
  </property>
  <property fmtid="{D5CDD505-2E9C-101B-9397-08002B2CF9AE}" pid="3" name="Google.Documents.DocumentId">
    <vt:lpwstr>1ONrAryJ6du4b07yHLCUj8gvwdPTBpZ-OdwmX26q5tLw</vt:lpwstr>
  </property>
  <property fmtid="{D5CDD505-2E9C-101B-9397-08002B2CF9AE}" pid="4" name="Google.Documents.RevisionId">
    <vt:lpwstr>02825864782311841090</vt:lpwstr>
  </property>
  <property fmtid="{D5CDD505-2E9C-101B-9397-08002B2CF9AE}" pid="5" name="Google.Documents.PluginVersion">
    <vt:lpwstr>2.0.2662.553</vt:lpwstr>
  </property>
  <property fmtid="{D5CDD505-2E9C-101B-9397-08002B2CF9AE}" pid="6" name="Google.Documents.MergeIncapabilityFlags">
    <vt:i4>0</vt:i4>
  </property>
</Properties>
</file>